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R7年度\099_その他\国保税試算表\"/>
    </mc:Choice>
  </mc:AlternateContent>
  <xr:revisionPtr revIDLastSave="0" documentId="13_ncr:1_{9347B39E-8781-4A37-87E0-D23CEFE89634}" xr6:coauthVersionLast="47" xr6:coauthVersionMax="47" xr10:uidLastSave="{00000000-0000-0000-0000-000000000000}"/>
  <bookViews>
    <workbookView xWindow="-120" yWindow="-120" windowWidth="29040" windowHeight="15720" xr2:uid="{00000000-000D-0000-FFFF-FFFF00000000}"/>
  </bookViews>
  <sheets>
    <sheet name="計算シート" sheetId="1" r:id="rId1"/>
    <sheet name="計算内訳" sheetId="6" r:id="rId2"/>
    <sheet name="計算表" sheetId="2" state="hidden" r:id="rId3"/>
    <sheet name="源泉徴収票" sheetId="3" r:id="rId4"/>
    <sheet name="確定申告書B" sheetId="5" r:id="rId5"/>
  </sheets>
  <definedNames>
    <definedName name="_xlnm.Print_Area" localSheetId="0">計算シート!$B$2:$M$50</definedName>
    <definedName name="_xlnm.Print_Area" localSheetId="1">計算内訳!$B$2:$L$58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6" l="1"/>
  <c r="J20" i="6"/>
  <c r="U212" i="2"/>
  <c r="U192" i="2"/>
  <c r="U172" i="2"/>
  <c r="U152" i="2"/>
  <c r="U132" i="2"/>
  <c r="U112" i="2"/>
  <c r="F26" i="2"/>
  <c r="K26" i="2"/>
  <c r="D26" i="2"/>
  <c r="H72" i="2"/>
  <c r="I57" i="2" s="1"/>
  <c r="E72" i="2"/>
  <c r="M3" i="1"/>
  <c r="B72" i="2"/>
  <c r="C57" i="2" s="1"/>
  <c r="B92" i="2"/>
  <c r="A92" i="2" s="1"/>
  <c r="K42" i="6"/>
  <c r="K34" i="6"/>
  <c r="K26" i="6"/>
  <c r="H34" i="6"/>
  <c r="I34" i="6"/>
  <c r="H42" i="6"/>
  <c r="I42" i="6"/>
  <c r="J42" i="6"/>
  <c r="K14" i="6"/>
  <c r="K8" i="6"/>
  <c r="J14" i="6"/>
  <c r="J8" i="6"/>
  <c r="G30" i="1"/>
  <c r="G31" i="1"/>
  <c r="G29" i="1"/>
  <c r="A72" i="2" l="1"/>
  <c r="I60" i="2"/>
  <c r="C81" i="2"/>
  <c r="C78" i="2"/>
  <c r="C80" i="2"/>
  <c r="C77" i="2"/>
  <c r="C79" i="2"/>
  <c r="C61" i="2"/>
  <c r="C59" i="2"/>
  <c r="C58" i="2"/>
  <c r="C60" i="2"/>
  <c r="C92" i="2"/>
  <c r="H51" i="2"/>
  <c r="J32" i="1" s="1"/>
  <c r="H50" i="2"/>
  <c r="C54" i="2"/>
  <c r="B54" i="2"/>
  <c r="U72" i="2" s="1"/>
  <c r="C11" i="2"/>
  <c r="C26" i="2" s="1"/>
  <c r="C31" i="2" s="1"/>
  <c r="V72" i="2" l="1"/>
  <c r="C21" i="2" s="1"/>
  <c r="C33" i="2"/>
  <c r="K12" i="6"/>
  <c r="E26" i="2"/>
  <c r="E31" i="2" s="1"/>
  <c r="C72" i="2"/>
  <c r="R72" i="2"/>
  <c r="J26" i="2" l="1"/>
  <c r="I26" i="2"/>
  <c r="L212" i="2"/>
  <c r="L192" i="2"/>
  <c r="L172" i="2"/>
  <c r="L152" i="2"/>
  <c r="L132" i="2"/>
  <c r="L112" i="2"/>
  <c r="L92" i="2"/>
  <c r="L72" i="2"/>
  <c r="C51" i="6" l="1"/>
  <c r="C53" i="6"/>
  <c r="C52" i="6"/>
  <c r="B194" i="2" l="1"/>
  <c r="B174" i="2"/>
  <c r="B154" i="2"/>
  <c r="B134" i="2"/>
  <c r="B114" i="2"/>
  <c r="B94" i="2"/>
  <c r="B74" i="2"/>
  <c r="U92" i="2" s="1"/>
  <c r="C20" i="2" s="1"/>
  <c r="C42" i="2" s="1"/>
  <c r="E43" i="2" l="1"/>
  <c r="E42" i="2"/>
  <c r="E41" i="2"/>
  <c r="E40" i="2"/>
  <c r="C41" i="2"/>
  <c r="C43" i="2"/>
  <c r="C40" i="2"/>
  <c r="V92" i="2"/>
  <c r="R132" i="2"/>
  <c r="V132" i="2"/>
  <c r="R152" i="2"/>
  <c r="V152" i="2"/>
  <c r="R172" i="2"/>
  <c r="V172" i="2"/>
  <c r="R192" i="2"/>
  <c r="V192" i="2"/>
  <c r="R212" i="2"/>
  <c r="V212" i="2"/>
  <c r="R112" i="2"/>
  <c r="V112" i="2"/>
  <c r="K24" i="6" l="1"/>
  <c r="K28" i="6"/>
  <c r="I17" i="1"/>
  <c r="J33" i="2" l="1"/>
  <c r="J32" i="2"/>
  <c r="J31" i="2"/>
  <c r="I31" i="2"/>
  <c r="K16" i="6"/>
  <c r="I18" i="1"/>
  <c r="I14" i="6" l="1"/>
  <c r="I8" i="6"/>
  <c r="F32" i="2"/>
  <c r="D32" i="2"/>
  <c r="H14" i="6"/>
  <c r="H8" i="6"/>
  <c r="D33" i="2" l="1"/>
  <c r="D31" i="2"/>
  <c r="F31" i="2"/>
  <c r="F33" i="2"/>
  <c r="D15" i="1"/>
  <c r="D24" i="1"/>
  <c r="D23" i="1" l="1"/>
  <c r="D22" i="1"/>
  <c r="D21" i="1"/>
  <c r="D20" i="1"/>
  <c r="D19" i="1"/>
  <c r="D18" i="1"/>
  <c r="D17" i="1"/>
  <c r="I12" i="6" l="1"/>
  <c r="I16" i="6"/>
  <c r="C74" i="2"/>
  <c r="R92" i="2" s="1"/>
  <c r="H12" i="6"/>
  <c r="C194" i="2"/>
  <c r="C154" i="2"/>
  <c r="C114" i="2"/>
  <c r="C174" i="2"/>
  <c r="C134" i="2"/>
  <c r="C94" i="2"/>
  <c r="H16" i="6" l="1"/>
  <c r="C32" i="2"/>
  <c r="E33" i="2"/>
  <c r="E32" i="2"/>
  <c r="J31" i="1"/>
  <c r="H49" i="2"/>
  <c r="J30" i="1" s="1"/>
  <c r="H48" i="2"/>
  <c r="J29" i="1" s="1"/>
  <c r="I33" i="2" l="1"/>
  <c r="I32" i="2"/>
  <c r="H212" i="2" l="1"/>
  <c r="E212" i="2"/>
  <c r="B212" i="2"/>
  <c r="B192" i="2"/>
  <c r="H172" i="2"/>
  <c r="E172" i="2"/>
  <c r="B172" i="2"/>
  <c r="H152" i="2"/>
  <c r="E152" i="2"/>
  <c r="B152" i="2"/>
  <c r="H132" i="2"/>
  <c r="E132" i="2"/>
  <c r="H112" i="2"/>
  <c r="E112" i="2"/>
  <c r="H92" i="2"/>
  <c r="E92" i="2"/>
  <c r="F59" i="2"/>
  <c r="B132" i="2"/>
  <c r="B112" i="2"/>
  <c r="C161" i="2" l="1"/>
  <c r="C160" i="2"/>
  <c r="C159" i="2"/>
  <c r="C158" i="2"/>
  <c r="C157" i="2"/>
  <c r="C181" i="2"/>
  <c r="C180" i="2"/>
  <c r="C179" i="2"/>
  <c r="C178" i="2"/>
  <c r="C177" i="2"/>
  <c r="C201" i="2"/>
  <c r="C200" i="2"/>
  <c r="C199" i="2"/>
  <c r="C198" i="2"/>
  <c r="C197" i="2"/>
  <c r="C121" i="2"/>
  <c r="C120" i="2"/>
  <c r="C119" i="2"/>
  <c r="C118" i="2"/>
  <c r="C117" i="2"/>
  <c r="C138" i="2"/>
  <c r="C137" i="2"/>
  <c r="C141" i="2"/>
  <c r="C139" i="2"/>
  <c r="C140" i="2"/>
  <c r="C101" i="2"/>
  <c r="C100" i="2"/>
  <c r="C99" i="2"/>
  <c r="C98" i="2"/>
  <c r="C97" i="2"/>
  <c r="K33" i="2"/>
  <c r="K31" i="2"/>
  <c r="K32" i="2"/>
  <c r="I99" i="2"/>
  <c r="I98" i="2"/>
  <c r="I101" i="2"/>
  <c r="I97" i="2"/>
  <c r="I100" i="2"/>
  <c r="F140" i="2"/>
  <c r="F139" i="2"/>
  <c r="F138" i="2"/>
  <c r="F141" i="2"/>
  <c r="F137" i="2"/>
  <c r="I160" i="2"/>
  <c r="I159" i="2"/>
  <c r="I158" i="2"/>
  <c r="I161" i="2"/>
  <c r="I157" i="2"/>
  <c r="I198" i="2"/>
  <c r="I201" i="2"/>
  <c r="I197" i="2"/>
  <c r="I200" i="2"/>
  <c r="I199" i="2"/>
  <c r="F79" i="2"/>
  <c r="F78" i="2"/>
  <c r="F81" i="2"/>
  <c r="F77" i="2"/>
  <c r="F80" i="2"/>
  <c r="F121" i="2"/>
  <c r="F117" i="2"/>
  <c r="F120" i="2"/>
  <c r="F119" i="2"/>
  <c r="F118" i="2"/>
  <c r="I141" i="2"/>
  <c r="I137" i="2"/>
  <c r="I140" i="2"/>
  <c r="I139" i="2"/>
  <c r="I138" i="2"/>
  <c r="I80" i="2"/>
  <c r="I79" i="2"/>
  <c r="I78" i="2"/>
  <c r="I81" i="2"/>
  <c r="I77" i="2"/>
  <c r="I118" i="2"/>
  <c r="I121" i="2"/>
  <c r="I117" i="2"/>
  <c r="I120" i="2"/>
  <c r="I119" i="2"/>
  <c r="F60" i="2"/>
  <c r="F58" i="2"/>
  <c r="F61" i="2"/>
  <c r="F57" i="2"/>
  <c r="F98" i="2"/>
  <c r="F101" i="2"/>
  <c r="F97" i="2"/>
  <c r="F100" i="2"/>
  <c r="F99" i="2"/>
  <c r="F159" i="2"/>
  <c r="F158" i="2"/>
  <c r="F161" i="2"/>
  <c r="F157" i="2"/>
  <c r="F160" i="2"/>
  <c r="F201" i="2"/>
  <c r="F197" i="2"/>
  <c r="F200" i="2"/>
  <c r="F199" i="2"/>
  <c r="F198" i="2"/>
  <c r="D72" i="2"/>
  <c r="I59" i="2"/>
  <c r="I58" i="2"/>
  <c r="I61" i="2"/>
  <c r="D92" i="2"/>
  <c r="D132" i="2"/>
  <c r="F132" i="2" s="1"/>
  <c r="D152" i="2"/>
  <c r="F152" i="2" s="1"/>
  <c r="D172" i="2"/>
  <c r="F172" i="2" s="1"/>
  <c r="D212" i="2"/>
  <c r="F212" i="2" s="1"/>
  <c r="G212" i="2"/>
  <c r="I212" i="2" s="1"/>
  <c r="A112" i="2"/>
  <c r="D112" i="2"/>
  <c r="F112" i="2" s="1"/>
  <c r="G72" i="2"/>
  <c r="I72" i="2" s="1"/>
  <c r="A212" i="2"/>
  <c r="A132" i="2"/>
  <c r="G152" i="2"/>
  <c r="A172" i="2"/>
  <c r="G112" i="2"/>
  <c r="G172" i="2"/>
  <c r="I172" i="2" s="1"/>
  <c r="G132" i="2"/>
  <c r="I132" i="2" s="1"/>
  <c r="G92" i="2"/>
  <c r="A192" i="2"/>
  <c r="A152" i="2"/>
  <c r="K172" i="2" l="1"/>
  <c r="J172" i="2"/>
  <c r="K212" i="2"/>
  <c r="J212" i="2"/>
  <c r="K132" i="2"/>
  <c r="J132" i="2"/>
  <c r="I112" i="2"/>
  <c r="I92" i="2"/>
  <c r="I152" i="2"/>
  <c r="F92" i="2"/>
  <c r="F72" i="2"/>
  <c r="K72" i="2" s="1"/>
  <c r="C112" i="2"/>
  <c r="C212" i="2"/>
  <c r="C132" i="2"/>
  <c r="C192" i="2"/>
  <c r="C172" i="2"/>
  <c r="C152" i="2"/>
  <c r="M172" i="2" l="1"/>
  <c r="N172" i="2" s="1"/>
  <c r="J72" i="2"/>
  <c r="M72" i="2" s="1"/>
  <c r="N72" i="2" s="1"/>
  <c r="M212" i="2"/>
  <c r="N212" i="2" s="1"/>
  <c r="Q212" i="2" s="1"/>
  <c r="J152" i="2"/>
  <c r="T152" i="2" s="1"/>
  <c r="K152" i="2"/>
  <c r="J112" i="2"/>
  <c r="T112" i="2" s="1"/>
  <c r="K112" i="2"/>
  <c r="K92" i="2"/>
  <c r="J92" i="2"/>
  <c r="M92" i="2" s="1"/>
  <c r="N92" i="2" s="1"/>
  <c r="M132" i="2"/>
  <c r="N132" i="2" s="1"/>
  <c r="T212" i="2"/>
  <c r="T172" i="2"/>
  <c r="T132" i="2"/>
  <c r="O132" i="2" l="1"/>
  <c r="P132" i="2" s="1"/>
  <c r="S132" i="2" s="1"/>
  <c r="Q132" i="2"/>
  <c r="O172" i="2"/>
  <c r="P172" i="2" s="1"/>
  <c r="S172" i="2" s="1"/>
  <c r="Q172" i="2"/>
  <c r="O92" i="2"/>
  <c r="P92" i="2" s="1"/>
  <c r="S92" i="2" s="1"/>
  <c r="Q92" i="2"/>
  <c r="T72" i="2"/>
  <c r="M152" i="2"/>
  <c r="N152" i="2" s="1"/>
  <c r="O212" i="2"/>
  <c r="P212" i="2" s="1"/>
  <c r="S212" i="2" s="1"/>
  <c r="M112" i="2"/>
  <c r="N112" i="2" s="1"/>
  <c r="T92" i="2"/>
  <c r="H192" i="2"/>
  <c r="E192" i="2"/>
  <c r="O112" i="2" l="1"/>
  <c r="P112" i="2" s="1"/>
  <c r="S112" i="2" s="1"/>
  <c r="Q112" i="2"/>
  <c r="O152" i="2"/>
  <c r="P152" i="2" s="1"/>
  <c r="S152" i="2" s="1"/>
  <c r="Q152" i="2"/>
  <c r="Q72" i="2"/>
  <c r="O72" i="2"/>
  <c r="F178" i="2"/>
  <c r="F181" i="2"/>
  <c r="F177" i="2"/>
  <c r="F180" i="2"/>
  <c r="F179" i="2"/>
  <c r="I179" i="2"/>
  <c r="I178" i="2"/>
  <c r="I181" i="2"/>
  <c r="I177" i="2"/>
  <c r="I180" i="2"/>
  <c r="G192" i="2"/>
  <c r="I192" i="2" s="1"/>
  <c r="D192" i="2"/>
  <c r="F192" i="2" s="1"/>
  <c r="J192" i="2" l="1"/>
  <c r="K192" i="2"/>
  <c r="P72" i="2"/>
  <c r="S72" i="2" l="1"/>
  <c r="T192" i="2"/>
  <c r="M192" i="2"/>
  <c r="N192" i="2" s="1"/>
  <c r="Q192" i="2" s="1"/>
  <c r="O192" i="2" l="1"/>
  <c r="P192" i="2" l="1"/>
  <c r="S192" i="2" l="1"/>
  <c r="C12" i="2" l="1"/>
  <c r="G26" i="2" s="1"/>
  <c r="C18" i="2"/>
  <c r="C15" i="2"/>
  <c r="C50" i="2" s="1"/>
  <c r="J10" i="6" s="1"/>
  <c r="J6" i="6" l="1"/>
  <c r="G31" i="2"/>
  <c r="G32" i="2"/>
  <c r="J16" i="6"/>
  <c r="G33" i="2"/>
  <c r="E31" i="1"/>
  <c r="J12" i="6"/>
  <c r="C19" i="2"/>
  <c r="B32" i="2" s="1"/>
  <c r="B41" i="2" s="1"/>
  <c r="C17" i="2"/>
  <c r="H26" i="2" s="1"/>
  <c r="B34" i="2" l="1"/>
  <c r="B43" i="2" s="1"/>
  <c r="H31" i="2"/>
  <c r="J34" i="6"/>
  <c r="H33" i="2"/>
  <c r="H32" i="2"/>
  <c r="B33" i="2"/>
  <c r="B42" i="2" l="1"/>
  <c r="C14" i="2" s="1"/>
  <c r="C48" i="2" s="1"/>
  <c r="C16" i="2"/>
  <c r="B35" i="2" s="1"/>
  <c r="A35" i="2" l="1"/>
  <c r="A44" i="2" s="1"/>
  <c r="C44" i="2" s="1"/>
  <c r="H20" i="6" s="1"/>
  <c r="E44" i="2" l="1"/>
  <c r="I20" i="6" s="1"/>
  <c r="F35" i="2"/>
  <c r="I35" i="2"/>
  <c r="D51" i="2" s="1"/>
  <c r="K36" i="2"/>
  <c r="G35" i="2"/>
  <c r="C35" i="2"/>
  <c r="H18" i="6" s="1"/>
  <c r="E35" i="2"/>
  <c r="H35" i="2"/>
  <c r="C13" i="2"/>
  <c r="K35" i="2"/>
  <c r="D35" i="2"/>
  <c r="J35" i="2"/>
  <c r="H6" i="6"/>
  <c r="C49" i="2"/>
  <c r="C51" i="2"/>
  <c r="K6" i="6"/>
  <c r="I6" i="6"/>
  <c r="D48" i="2" l="1"/>
  <c r="D49" i="2"/>
  <c r="H36" i="6"/>
  <c r="F48" i="2"/>
  <c r="E29" i="1"/>
  <c r="H10" i="6"/>
  <c r="K30" i="6"/>
  <c r="E51" i="2"/>
  <c r="F50" i="2"/>
  <c r="J36" i="6"/>
  <c r="I18" i="6"/>
  <c r="J18" i="6"/>
  <c r="D50" i="2"/>
  <c r="K18" i="6"/>
  <c r="K10" i="6"/>
  <c r="E32" i="1"/>
  <c r="E30" i="1"/>
  <c r="I10" i="6"/>
  <c r="F51" i="2"/>
  <c r="K36" i="6"/>
  <c r="E36" i="6"/>
  <c r="E18" i="6"/>
  <c r="E30" i="6"/>
  <c r="F49" i="2"/>
  <c r="I36" i="6"/>
  <c r="F32" i="1" l="1"/>
  <c r="K22" i="6"/>
  <c r="I38" i="6"/>
  <c r="H30" i="1"/>
  <c r="H22" i="6"/>
  <c r="F29" i="1"/>
  <c r="I22" i="6"/>
  <c r="F30" i="1"/>
  <c r="G32" i="1"/>
  <c r="K32" i="6"/>
  <c r="G48" i="2"/>
  <c r="I48" i="2" s="1"/>
  <c r="H29" i="1"/>
  <c r="H38" i="6"/>
  <c r="G51" i="2"/>
  <c r="G50" i="2"/>
  <c r="J22" i="6"/>
  <c r="F31" i="1"/>
  <c r="H31" i="1"/>
  <c r="J38" i="6"/>
  <c r="H32" i="1"/>
  <c r="K38" i="6"/>
  <c r="G49" i="2"/>
  <c r="J40" i="6" l="1"/>
  <c r="I31" i="1"/>
  <c r="I50" i="2"/>
  <c r="I30" i="1"/>
  <c r="I40" i="6"/>
  <c r="I49" i="2"/>
  <c r="K40" i="6"/>
  <c r="I51" i="2"/>
  <c r="I32" i="1"/>
  <c r="I29" i="1"/>
  <c r="H40" i="6"/>
  <c r="I52" i="2" l="1"/>
  <c r="I46" i="6" s="1"/>
  <c r="K29" i="1"/>
  <c r="H44" i="6"/>
  <c r="I44" i="6"/>
  <c r="K30" i="1"/>
  <c r="K44" i="6"/>
  <c r="K32" i="1"/>
  <c r="K31" i="1"/>
  <c r="J44" i="6"/>
  <c r="K33" i="1" l="1"/>
  <c r="K34" i="1" l="1"/>
  <c r="J48" i="1"/>
  <c r="J41" i="1" l="1"/>
  <c r="J46" i="1"/>
  <c r="J47" i="1"/>
  <c r="J45" i="1"/>
  <c r="J44" i="1"/>
  <c r="J40" i="1"/>
  <c r="J42" i="1"/>
  <c r="J43" i="1"/>
  <c r="J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numataadmin</author>
    <author>沼田市</author>
  </authors>
  <commentList>
    <comment ref="C11" authorId="0" shapeId="0" xr:uid="{00000000-0006-0000-0200-000001000000}">
      <text>
        <r>
          <rPr>
            <b/>
            <sz val="9"/>
            <color indexed="81"/>
            <rFont val="ＭＳ Ｐゴシック"/>
            <family val="3"/>
            <charset val="128"/>
          </rPr>
          <t>計算シート①の入力人数</t>
        </r>
      </text>
    </comment>
    <comment ref="C12" authorId="0" shapeId="0" xr:uid="{00000000-0006-0000-0200-000002000000}">
      <text>
        <r>
          <rPr>
            <b/>
            <sz val="9"/>
            <color indexed="81"/>
            <rFont val="ＭＳ Ｐゴシック"/>
            <family val="3"/>
            <charset val="128"/>
          </rPr>
          <t>計算表Ｒ列（介護フラグ）の足し上げ</t>
        </r>
      </text>
    </comment>
    <comment ref="C13" authorId="0" shapeId="0" xr:uid="{00000000-0006-0000-0200-000003000000}">
      <text>
        <r>
          <rPr>
            <b/>
            <sz val="9"/>
            <color indexed="81"/>
            <rFont val="ＭＳ Ｐゴシック"/>
            <family val="3"/>
            <charset val="128"/>
          </rPr>
          <t>計算表Ｏ列（総所得）の足し上げ</t>
        </r>
      </text>
    </comment>
    <comment ref="C14" authorId="0" shapeId="0" xr:uid="{00000000-0006-0000-0200-000004000000}">
      <text>
        <r>
          <rPr>
            <b/>
            <sz val="9"/>
            <color indexed="81"/>
            <rFont val="ＭＳ Ｐゴシック"/>
            <family val="3"/>
            <charset val="128"/>
          </rPr>
          <t>計算表Ｐ列（ただし書き所得）の足し上げ</t>
        </r>
      </text>
    </comment>
    <comment ref="C15" authorId="0" shapeId="0" xr:uid="{00000000-0006-0000-0200-000005000000}">
      <text>
        <r>
          <rPr>
            <b/>
            <sz val="9"/>
            <color indexed="81"/>
            <rFont val="ＭＳ Ｐゴシック"/>
            <family val="3"/>
            <charset val="128"/>
          </rPr>
          <t>計算表Ｓ列（介護所得）の足し上げ</t>
        </r>
      </text>
    </comment>
    <comment ref="C16" authorId="0" shapeId="0" xr:uid="{00000000-0006-0000-0200-000006000000}">
      <text>
        <r>
          <rPr>
            <b/>
            <sz val="9"/>
            <color indexed="81"/>
            <rFont val="ＭＳ Ｐゴシック"/>
            <family val="3"/>
            <charset val="128"/>
          </rPr>
          <t>計算表Ｑ列（軽判所得）の足し上げ</t>
        </r>
      </text>
    </comment>
    <comment ref="C17" authorId="0" shapeId="0" xr:uid="{00000000-0006-0000-0200-000007000000}">
      <text>
        <r>
          <rPr>
            <b/>
            <sz val="9"/>
            <color indexed="81"/>
            <rFont val="ＭＳ Ｐゴシック"/>
            <family val="3"/>
            <charset val="128"/>
          </rPr>
          <t>計算表C12（介護人数）が1以上なら1</t>
        </r>
      </text>
    </comment>
    <comment ref="C18" authorId="0" shapeId="0" xr:uid="{00000000-0006-0000-0200-000008000000}">
      <text>
        <r>
          <rPr>
            <b/>
            <sz val="9"/>
            <color indexed="81"/>
            <rFont val="ＭＳ Ｐゴシック"/>
            <family val="3"/>
            <charset val="128"/>
          </rPr>
          <t>計算表Ｔ列（給与所得者等フラグ）の足し上げ</t>
        </r>
      </text>
    </comment>
    <comment ref="C19" authorId="0" shapeId="0" xr:uid="{00000000-0006-0000-0200-000009000000}">
      <text>
        <r>
          <rPr>
            <b/>
            <sz val="9"/>
            <color indexed="81"/>
            <rFont val="ＭＳ Ｐゴシック"/>
            <family val="3"/>
            <charset val="128"/>
          </rPr>
          <t>計算表C18（給与所得者等）が1以上なら1</t>
        </r>
      </text>
    </comment>
    <comment ref="C20" authorId="0" shapeId="0" xr:uid="{9C61AB2F-2A0D-4902-B989-1BF88A6A4E7F}">
      <text>
        <r>
          <rPr>
            <b/>
            <sz val="9"/>
            <color indexed="81"/>
            <rFont val="ＭＳ Ｐゴシック"/>
            <family val="3"/>
            <charset val="128"/>
          </rPr>
          <t>計算表U列（未就学児以外フラグ）の足し上げ</t>
        </r>
      </text>
    </comment>
    <comment ref="C21" authorId="0" shapeId="0" xr:uid="{746C60B6-BF40-411F-9076-8CFE6583DB65}">
      <text>
        <r>
          <rPr>
            <b/>
            <sz val="9"/>
            <color indexed="81"/>
            <rFont val="ＭＳ Ｐゴシック"/>
            <family val="3"/>
            <charset val="128"/>
          </rPr>
          <t>計算表V列（子ども以外フラグ）の足し上げ</t>
        </r>
      </text>
    </comment>
    <comment ref="I26" authorId="0" shapeId="0" xr:uid="{BBF1F781-575D-4D4E-881B-2BDEB4DAF07C}">
      <text>
        <r>
          <rPr>
            <b/>
            <sz val="9"/>
            <color indexed="81"/>
            <rFont val="ＭＳ Ｐゴシック"/>
            <family val="3"/>
            <charset val="128"/>
          </rPr>
          <t>18歳未満は計算上課税後軽減するが、便宜上計算から除く</t>
        </r>
      </text>
    </comment>
    <comment ref="B32" authorId="0" shapeId="0" xr:uid="{00000000-0006-0000-0200-00000A000000}">
      <text>
        <r>
          <rPr>
            <b/>
            <sz val="9"/>
            <color indexed="81"/>
            <rFont val="ＭＳ Ｐゴシック"/>
            <family val="3"/>
            <charset val="128"/>
          </rPr>
          <t>７割軽減基準額</t>
        </r>
      </text>
    </comment>
    <comment ref="B33" authorId="0" shapeId="0" xr:uid="{00000000-0006-0000-0200-00000B000000}">
      <text>
        <r>
          <rPr>
            <b/>
            <sz val="9"/>
            <color indexed="81"/>
            <rFont val="ＭＳ Ｐゴシック"/>
            <family val="3"/>
            <charset val="128"/>
          </rPr>
          <t>５割軽減基準額（人数反映）</t>
        </r>
      </text>
    </comment>
    <comment ref="B34" authorId="0" shapeId="0" xr:uid="{00000000-0006-0000-0200-00000C000000}">
      <text>
        <r>
          <rPr>
            <b/>
            <sz val="9"/>
            <color indexed="81"/>
            <rFont val="ＭＳ Ｐゴシック"/>
            <family val="3"/>
            <charset val="128"/>
          </rPr>
          <t>２割軽減基準額（人数反映）</t>
        </r>
      </text>
    </comment>
    <comment ref="A35" authorId="0" shapeId="0" xr:uid="{00000000-0006-0000-0200-00000D000000}">
      <text>
        <r>
          <rPr>
            <b/>
            <sz val="9"/>
            <color indexed="81"/>
            <rFont val="ＭＳ Ｐゴシック"/>
            <family val="3"/>
            <charset val="128"/>
          </rPr>
          <t>各軽減基準額と順位を比較し、順位に応じて均等割・平等割を計算（人数反映）。
1　軽減なし
2　２割軽減
3　５割軽減
4　７割軽減</t>
        </r>
      </text>
    </comment>
    <comment ref="K36" authorId="0" shapeId="0" xr:uid="{00000000-0006-0000-0200-00000E000000}">
      <text>
        <r>
          <rPr>
            <b/>
            <sz val="9"/>
            <color indexed="81"/>
            <rFont val="ＭＳ Ｐゴシック"/>
            <family val="3"/>
            <charset val="128"/>
          </rPr>
          <t>計算表A26を参照。
1　非該当
2　２割
3　５割
4　７割</t>
        </r>
      </text>
    </comment>
    <comment ref="C47" authorId="0" shapeId="0" xr:uid="{00000000-0006-0000-0200-00000F000000}">
      <text>
        <r>
          <rPr>
            <b/>
            <sz val="9"/>
            <color indexed="81"/>
            <rFont val="ＭＳ Ｐゴシック"/>
            <family val="3"/>
            <charset val="128"/>
          </rPr>
          <t>計算シートC14（ただし書き所得）とC11orC12の加入人数or介護人数の乗算</t>
        </r>
      </text>
    </comment>
    <comment ref="I47" authorId="0" shapeId="0" xr:uid="{00000000-0006-0000-0200-000010000000}">
      <text>
        <r>
          <rPr>
            <b/>
            <sz val="9"/>
            <color indexed="81"/>
            <rFont val="ＭＳ Ｐゴシック"/>
            <family val="3"/>
            <charset val="128"/>
          </rPr>
          <t>計と課税限度の比較を行い小さい方の値を出力</t>
        </r>
      </text>
    </comment>
    <comment ref="B54" authorId="0" shapeId="0" xr:uid="{00000000-0006-0000-0200-000011000000}">
      <text>
        <r>
          <rPr>
            <b/>
            <sz val="9"/>
            <color indexed="81"/>
            <rFont val="ＭＳ Ｐゴシック"/>
            <family val="3"/>
            <charset val="128"/>
          </rPr>
          <t>計算シートＥ17参照。</t>
        </r>
      </text>
    </comment>
    <comment ref="C54" authorId="0" shapeId="0" xr:uid="{00000000-0006-0000-0200-000012000000}">
      <text>
        <r>
          <rPr>
            <b/>
            <sz val="9"/>
            <color indexed="81"/>
            <rFont val="ＭＳ Ｐゴシック"/>
            <family val="3"/>
            <charset val="128"/>
          </rPr>
          <t>計算シートC12参照。擬主なら0、国保主なら１</t>
        </r>
      </text>
    </comment>
    <comment ref="A72" authorId="0" shapeId="0" xr:uid="{00000000-0006-0000-0200-000013000000}">
      <text>
        <r>
          <rPr>
            <b/>
            <sz val="9"/>
            <color indexed="81"/>
            <rFont val="ＭＳ Ｐゴシック"/>
            <family val="3"/>
            <charset val="128"/>
          </rPr>
          <t xml:space="preserve">各収入基準と収入を比較し、順位に応じた所得を算出
</t>
        </r>
      </text>
    </comment>
    <comment ref="D72" authorId="0" shapeId="0" xr:uid="{00000000-0006-0000-0200-000014000000}">
      <text>
        <r>
          <rPr>
            <b/>
            <sz val="9"/>
            <color indexed="81"/>
            <rFont val="ＭＳ Ｐゴシック"/>
            <family val="3"/>
            <charset val="128"/>
          </rPr>
          <t xml:space="preserve">各収入基準と収入を比較し、順位に応じた所得を算出
</t>
        </r>
      </text>
    </comment>
    <comment ref="G72" authorId="0" shapeId="0" xr:uid="{00000000-0006-0000-0200-000015000000}">
      <text>
        <r>
          <rPr>
            <b/>
            <sz val="9"/>
            <color indexed="81"/>
            <rFont val="ＭＳ Ｐゴシック"/>
            <family val="3"/>
            <charset val="128"/>
          </rPr>
          <t xml:space="preserve">各収入基準と収入を比較し、順位に応じた所得を算出
</t>
        </r>
      </text>
    </comment>
    <comment ref="J72" authorId="0" shapeId="0" xr:uid="{00000000-0006-0000-0200-000016000000}">
      <text>
        <r>
          <rPr>
            <b/>
            <sz val="9"/>
            <color indexed="81"/>
            <rFont val="ＭＳ Ｐゴシック"/>
            <family val="3"/>
            <charset val="128"/>
          </rPr>
          <t>計算シート入力の年齢が６５以上の場合はI列の計算所得、６５未満の場合はF列の計算所得を参照</t>
        </r>
      </text>
    </comment>
    <comment ref="K72" authorId="0" shapeId="0" xr:uid="{00000000-0006-0000-0200-000017000000}">
      <text>
        <r>
          <rPr>
            <b/>
            <sz val="9"/>
            <color indexed="81"/>
            <rFont val="ＭＳ Ｐゴシック"/>
            <family val="3"/>
            <charset val="128"/>
          </rPr>
          <t>Ｊ列の年金所得と年齢情報を参照し、６５歳以上の場合には特例軽減150,000円の控除を行う。負の値とならないように調整。</t>
        </r>
      </text>
    </comment>
    <comment ref="M72" authorId="1" shapeId="0" xr:uid="{00000000-0006-0000-0200-000018000000}">
      <text>
        <r>
          <rPr>
            <b/>
            <sz val="9"/>
            <color indexed="81"/>
            <rFont val="ＭＳ Ｐゴシック"/>
            <family val="3"/>
            <charset val="128"/>
          </rPr>
          <t>Ｃ列（給与所得）とＪ列（年金所得）のいずれも0でないとき、それぞれを100,000円を上限に足し上げ、100,000円を差し引いた値</t>
        </r>
      </text>
    </comment>
    <comment ref="N72" authorId="1" shapeId="0" xr:uid="{00000000-0006-0000-0200-000019000000}">
      <text>
        <r>
          <rPr>
            <b/>
            <sz val="9"/>
            <color indexed="81"/>
            <rFont val="MS P ゴシック"/>
            <family val="3"/>
            <charset val="128"/>
          </rPr>
          <t>Ｃ列(給与所得)からＭ列(所得金額調整控除)を差し引いた値</t>
        </r>
      </text>
    </comment>
    <comment ref="O72" authorId="0" shapeId="0" xr:uid="{00000000-0006-0000-0200-00001A000000}">
      <text>
        <r>
          <rPr>
            <b/>
            <sz val="9"/>
            <color indexed="81"/>
            <rFont val="ＭＳ Ｐゴシック"/>
            <family val="3"/>
            <charset val="128"/>
          </rPr>
          <t>Ｎ列（給与所得（調整控除後））、J列（年金所得）、L列（その他所得）の合計
ただし、C35（主・擬主判定）が0の場合は0</t>
        </r>
      </text>
    </comment>
    <comment ref="P72" authorId="0" shapeId="0" xr:uid="{00000000-0006-0000-0200-00001B000000}">
      <text>
        <r>
          <rPr>
            <b/>
            <sz val="9"/>
            <color indexed="81"/>
            <rFont val="ＭＳ Ｐゴシック"/>
            <family val="3"/>
            <charset val="128"/>
          </rPr>
          <t>Ｏ列（総所得）から基礎控除430,000円を控除した値。負の値にならないように調整</t>
        </r>
      </text>
    </comment>
    <comment ref="Q72" authorId="0" shapeId="0" xr:uid="{00000000-0006-0000-0200-00001C000000}">
      <text>
        <r>
          <rPr>
            <b/>
            <sz val="9"/>
            <color indexed="81"/>
            <rFont val="ＭＳ Ｐゴシック"/>
            <family val="3"/>
            <charset val="128"/>
          </rPr>
          <t>Ｎ列（給与所得（調整控除後））、K列（年金所得（軽判））、L列（その他所得）、M列所得金額調整控除の合計</t>
        </r>
      </text>
    </comment>
    <comment ref="R72" authorId="0" shapeId="0" xr:uid="{00000000-0006-0000-0200-00001D000000}">
      <text>
        <r>
          <rPr>
            <b/>
            <sz val="9"/>
            <color indexed="81"/>
            <rFont val="ＭＳ Ｐゴシック"/>
            <family val="3"/>
            <charset val="128"/>
          </rPr>
          <t>年齢から判定
介護分ありなら1
介護分なしなら0
ただし、C35の主・擬主判定が0なら該当年齢でも0</t>
        </r>
      </text>
    </comment>
    <comment ref="S72" authorId="0" shapeId="0" xr:uid="{00000000-0006-0000-0200-00001E000000}">
      <text>
        <r>
          <rPr>
            <b/>
            <sz val="9"/>
            <color indexed="81"/>
            <rFont val="ＭＳ Ｐゴシック"/>
            <family val="3"/>
            <charset val="128"/>
          </rPr>
          <t>Ｓ列（介護フラグ）が0の場合は0、1の場合はＰ列（ただし書き所得）を出力</t>
        </r>
      </text>
    </comment>
    <comment ref="T72" authorId="1" shapeId="0" xr:uid="{00000000-0006-0000-0200-00001F000000}">
      <text>
        <r>
          <rPr>
            <b/>
            <sz val="9"/>
            <color indexed="81"/>
            <rFont val="ＭＳ Ｐゴシック"/>
            <family val="3"/>
            <charset val="128"/>
          </rPr>
          <t>Ｃ列（給与所得）とＪ列（年金所得）のいずれかが0でないとき1
どちらも0なら0
擬主であっても同様</t>
        </r>
      </text>
    </comment>
    <comment ref="V72" authorId="0" shapeId="0" xr:uid="{FC0FAB5B-F660-4C65-939E-24E9D869C144}">
      <text>
        <r>
          <rPr>
            <b/>
            <sz val="9"/>
            <color indexed="81"/>
            <rFont val="ＭＳ Ｐゴシック"/>
            <family val="3"/>
            <charset val="128"/>
          </rPr>
          <t>年齢から判定
子ども均等割ありなら1
なしなら0</t>
        </r>
      </text>
    </comment>
    <comment ref="C74" authorId="0" shapeId="0" xr:uid="{00000000-0006-0000-0200-000020000000}">
      <text>
        <r>
          <rPr>
            <b/>
            <sz val="9"/>
            <color indexed="81"/>
            <rFont val="ＭＳ Ｐゴシック"/>
            <family val="3"/>
            <charset val="128"/>
          </rPr>
          <t>C11（加入人数）とC35（主・擬主判定）の値から計算対象となるかを判定</t>
        </r>
      </text>
    </comment>
  </commentList>
</comments>
</file>

<file path=xl/sharedStrings.xml><?xml version="1.0" encoding="utf-8"?>
<sst xmlns="http://schemas.openxmlformats.org/spreadsheetml/2006/main" count="520" uniqueCount="213">
  <si>
    <t>1（世帯主）</t>
    <rPh sb="2" eb="5">
      <t>セタイヌシ</t>
    </rPh>
    <phoneticPr fontId="2"/>
  </si>
  <si>
    <t>給与収入</t>
    <rPh sb="0" eb="2">
      <t>キュウヨ</t>
    </rPh>
    <rPh sb="2" eb="4">
      <t>シュウニュウ</t>
    </rPh>
    <phoneticPr fontId="2"/>
  </si>
  <si>
    <t>年金収入</t>
    <rPh sb="0" eb="2">
      <t>ネンキン</t>
    </rPh>
    <rPh sb="2" eb="4">
      <t>シュウニュウ</t>
    </rPh>
    <phoneticPr fontId="2"/>
  </si>
  <si>
    <t>給与所得</t>
    <rPh sb="0" eb="2">
      <t>キュウヨ</t>
    </rPh>
    <rPh sb="2" eb="4">
      <t>ショトク</t>
    </rPh>
    <phoneticPr fontId="2"/>
  </si>
  <si>
    <t>順位</t>
    <rPh sb="0" eb="2">
      <t>ジュンイ</t>
    </rPh>
    <phoneticPr fontId="2"/>
  </si>
  <si>
    <t>年金所得</t>
    <rPh sb="0" eb="2">
      <t>ネンキン</t>
    </rPh>
    <rPh sb="2" eb="4">
      <t>ショトク</t>
    </rPh>
    <phoneticPr fontId="2"/>
  </si>
  <si>
    <t>65未満</t>
    <rPh sb="2" eb="4">
      <t>ミマン</t>
    </rPh>
    <phoneticPr fontId="2"/>
  </si>
  <si>
    <t>65以上</t>
    <rPh sb="2" eb="4">
      <t>イジョウ</t>
    </rPh>
    <phoneticPr fontId="2"/>
  </si>
  <si>
    <t>総所得</t>
    <rPh sb="0" eb="3">
      <t>ソウショトク</t>
    </rPh>
    <phoneticPr fontId="2"/>
  </si>
  <si>
    <t>軽判所得</t>
    <rPh sb="0" eb="1">
      <t>ケイ</t>
    </rPh>
    <rPh sb="1" eb="2">
      <t>ハン</t>
    </rPh>
    <rPh sb="2" eb="4">
      <t>ショトク</t>
    </rPh>
    <phoneticPr fontId="2"/>
  </si>
  <si>
    <t>人</t>
    <rPh sb="0" eb="1">
      <t>ニン</t>
    </rPh>
    <phoneticPr fontId="2"/>
  </si>
  <si>
    <t>ただし書き</t>
    <rPh sb="3" eb="4">
      <t>ガ</t>
    </rPh>
    <phoneticPr fontId="2"/>
  </si>
  <si>
    <t>総所得</t>
    <rPh sb="0" eb="3">
      <t>ソウショトク</t>
    </rPh>
    <phoneticPr fontId="2"/>
  </si>
  <si>
    <t>軽判所得</t>
    <rPh sb="0" eb="2">
      <t>ケイハン</t>
    </rPh>
    <rPh sb="2" eb="4">
      <t>ショトク</t>
    </rPh>
    <phoneticPr fontId="2"/>
  </si>
  <si>
    <t>加入人数</t>
    <rPh sb="0" eb="2">
      <t>カニュウ</t>
    </rPh>
    <rPh sb="2" eb="4">
      <t>ニンズウ</t>
    </rPh>
    <phoneticPr fontId="2"/>
  </si>
  <si>
    <t>2割</t>
    <rPh sb="1" eb="2">
      <t>ワリ</t>
    </rPh>
    <phoneticPr fontId="2"/>
  </si>
  <si>
    <t>7割</t>
    <rPh sb="1" eb="2">
      <t>ワリ</t>
    </rPh>
    <phoneticPr fontId="2"/>
  </si>
  <si>
    <t>5割</t>
    <rPh sb="1" eb="2">
      <t>ワリ</t>
    </rPh>
    <phoneticPr fontId="2"/>
  </si>
  <si>
    <t>均等割</t>
    <rPh sb="0" eb="3">
      <t>キントウワ</t>
    </rPh>
    <phoneticPr fontId="2"/>
  </si>
  <si>
    <t>平等割</t>
    <rPh sb="0" eb="3">
      <t>ビョウドウワリ</t>
    </rPh>
    <phoneticPr fontId="2"/>
  </si>
  <si>
    <t>医療分</t>
    <rPh sb="0" eb="2">
      <t>イリョウ</t>
    </rPh>
    <rPh sb="2" eb="3">
      <t>ブン</t>
    </rPh>
    <phoneticPr fontId="2"/>
  </si>
  <si>
    <t>介護分</t>
    <rPh sb="0" eb="2">
      <t>カイゴ</t>
    </rPh>
    <rPh sb="2" eb="3">
      <t>ブン</t>
    </rPh>
    <phoneticPr fontId="2"/>
  </si>
  <si>
    <t>税率</t>
    <rPh sb="0" eb="2">
      <t>ゼイリツ</t>
    </rPh>
    <phoneticPr fontId="2"/>
  </si>
  <si>
    <t>医療</t>
    <rPh sb="0" eb="2">
      <t>イリョウ</t>
    </rPh>
    <phoneticPr fontId="2"/>
  </si>
  <si>
    <t>支援金</t>
    <rPh sb="0" eb="3">
      <t>シエンキン</t>
    </rPh>
    <phoneticPr fontId="2"/>
  </si>
  <si>
    <t>介護</t>
    <rPh sb="0" eb="2">
      <t>カイゴ</t>
    </rPh>
    <phoneticPr fontId="2"/>
  </si>
  <si>
    <t>所得割率</t>
    <rPh sb="0" eb="2">
      <t>ショトク</t>
    </rPh>
    <rPh sb="2" eb="3">
      <t>ワリ</t>
    </rPh>
    <rPh sb="3" eb="4">
      <t>リツ</t>
    </rPh>
    <phoneticPr fontId="2"/>
  </si>
  <si>
    <t>資産割率</t>
    <rPh sb="0" eb="2">
      <t>シサン</t>
    </rPh>
    <rPh sb="2" eb="3">
      <t>ワリ</t>
    </rPh>
    <rPh sb="3" eb="4">
      <t>リツ</t>
    </rPh>
    <phoneticPr fontId="2"/>
  </si>
  <si>
    <t>均等割額</t>
    <rPh sb="0" eb="2">
      <t>キントウ</t>
    </rPh>
    <rPh sb="2" eb="3">
      <t>ワリ</t>
    </rPh>
    <rPh sb="3" eb="4">
      <t>ガク</t>
    </rPh>
    <phoneticPr fontId="2"/>
  </si>
  <si>
    <t>平等割額</t>
    <rPh sb="0" eb="3">
      <t>ビョウドウワリ</t>
    </rPh>
    <rPh sb="3" eb="4">
      <t>ガク</t>
    </rPh>
    <phoneticPr fontId="2"/>
  </si>
  <si>
    <t>限度額</t>
    <rPh sb="0" eb="3">
      <t>ゲンドガク</t>
    </rPh>
    <phoneticPr fontId="2"/>
  </si>
  <si>
    <t>軽減判定基準</t>
    <rPh sb="0" eb="2">
      <t>ケイゲン</t>
    </rPh>
    <rPh sb="2" eb="4">
      <t>ハンテイ</t>
    </rPh>
    <rPh sb="4" eb="6">
      <t>キジュン</t>
    </rPh>
    <phoneticPr fontId="2"/>
  </si>
  <si>
    <t>税額</t>
    <rPh sb="0" eb="2">
      <t>ゼイガク</t>
    </rPh>
    <phoneticPr fontId="2"/>
  </si>
  <si>
    <t>支援金分</t>
    <rPh sb="0" eb="2">
      <t>シエン</t>
    </rPh>
    <rPh sb="2" eb="4">
      <t>キンブン</t>
    </rPh>
    <phoneticPr fontId="2"/>
  </si>
  <si>
    <t>支援金分</t>
    <rPh sb="0" eb="3">
      <t>シエンキン</t>
    </rPh>
    <rPh sb="3" eb="4">
      <t>ブン</t>
    </rPh>
    <phoneticPr fontId="2"/>
  </si>
  <si>
    <t>所得割</t>
    <rPh sb="0" eb="3">
      <t>ショトクワリ</t>
    </rPh>
    <phoneticPr fontId="2"/>
  </si>
  <si>
    <t>計</t>
    <rPh sb="0" eb="1">
      <t>ケイ</t>
    </rPh>
    <phoneticPr fontId="2"/>
  </si>
  <si>
    <t>課税限度</t>
    <rPh sb="0" eb="2">
      <t>カゼイ</t>
    </rPh>
    <rPh sb="2" eb="4">
      <t>ゲンド</t>
    </rPh>
    <phoneticPr fontId="2"/>
  </si>
  <si>
    <t>介護フラグ</t>
    <rPh sb="0" eb="2">
      <t>カイゴ</t>
    </rPh>
    <phoneticPr fontId="2"/>
  </si>
  <si>
    <t>介護所得</t>
    <rPh sb="0" eb="2">
      <t>カイゴ</t>
    </rPh>
    <rPh sb="2" eb="4">
      <t>ショトク</t>
    </rPh>
    <phoneticPr fontId="2"/>
  </si>
  <si>
    <t>介護人数</t>
    <rPh sb="0" eb="2">
      <t>カイゴ</t>
    </rPh>
    <rPh sb="2" eb="4">
      <t>ニンズウ</t>
    </rPh>
    <phoneticPr fontId="2"/>
  </si>
  <si>
    <t>年間税額</t>
    <rPh sb="0" eb="2">
      <t>ネンカン</t>
    </rPh>
    <rPh sb="2" eb="4">
      <t>ゼイガク</t>
    </rPh>
    <phoneticPr fontId="2"/>
  </si>
  <si>
    <t>期別</t>
    <rPh sb="0" eb="1">
      <t>キ</t>
    </rPh>
    <rPh sb="1" eb="2">
      <t>ベツ</t>
    </rPh>
    <phoneticPr fontId="2"/>
  </si>
  <si>
    <t>税額</t>
    <rPh sb="0" eb="2">
      <t>ゼイガク</t>
    </rPh>
    <phoneticPr fontId="2"/>
  </si>
  <si>
    <t>合計</t>
    <rPh sb="0" eb="2">
      <t>ゴウケイ</t>
    </rPh>
    <phoneticPr fontId="2"/>
  </si>
  <si>
    <t>納付月</t>
    <rPh sb="0" eb="2">
      <t>ノウフ</t>
    </rPh>
    <rPh sb="2" eb="3">
      <t>ヅキ</t>
    </rPh>
    <phoneticPr fontId="2"/>
  </si>
  <si>
    <t>７月</t>
    <rPh sb="1" eb="2">
      <t>ガツ</t>
    </rPh>
    <phoneticPr fontId="2"/>
  </si>
  <si>
    <t>８月</t>
    <rPh sb="1" eb="2">
      <t>ガツ</t>
    </rPh>
    <phoneticPr fontId="2"/>
  </si>
  <si>
    <t>９月</t>
  </si>
  <si>
    <t>１０月</t>
  </si>
  <si>
    <t>１１月</t>
  </si>
  <si>
    <t>１２月</t>
  </si>
  <si>
    <t>翌年１月</t>
    <rPh sb="0" eb="1">
      <t>ヨク</t>
    </rPh>
    <rPh sb="1" eb="2">
      <t>ネン</t>
    </rPh>
    <phoneticPr fontId="2"/>
  </si>
  <si>
    <t>翌年２月</t>
    <rPh sb="0" eb="2">
      <t>ヨクネン</t>
    </rPh>
    <phoneticPr fontId="2"/>
  </si>
  <si>
    <t>翌年３月</t>
    <rPh sb="0" eb="1">
      <t>ヨク</t>
    </rPh>
    <rPh sb="1" eb="2">
      <t>ネン</t>
    </rPh>
    <phoneticPr fontId="2"/>
  </si>
  <si>
    <t>④税額計算結果</t>
    <rPh sb="1" eb="3">
      <t>ゼイガク</t>
    </rPh>
    <rPh sb="3" eb="5">
      <t>ケイサン</t>
    </rPh>
    <rPh sb="5" eb="7">
      <t>ケッカ</t>
    </rPh>
    <phoneticPr fontId="2"/>
  </si>
  <si>
    <t>≪ご使用の前に≫</t>
    <rPh sb="2" eb="4">
      <t>シヨウ</t>
    </rPh>
    <rPh sb="5" eb="6">
      <t>マエ</t>
    </rPh>
    <phoneticPr fontId="2"/>
  </si>
  <si>
    <t>（単位：円）</t>
    <rPh sb="1" eb="3">
      <t>タンイ</t>
    </rPh>
    <rPh sb="4" eb="5">
      <t>エン</t>
    </rPh>
    <phoneticPr fontId="2"/>
  </si>
  <si>
    <t>⑤1年間国保に加入した場合の支払いイメージ</t>
    <rPh sb="2" eb="4">
      <t>ネンカン</t>
    </rPh>
    <rPh sb="4" eb="6">
      <t>コクホ</t>
    </rPh>
    <rPh sb="7" eb="9">
      <t>カニュウ</t>
    </rPh>
    <rPh sb="11" eb="13">
      <t>バアイ</t>
    </rPh>
    <rPh sb="14" eb="16">
      <t>シハライ</t>
    </rPh>
    <phoneticPr fontId="2"/>
  </si>
  <si>
    <t>税率</t>
    <rPh sb="0" eb="2">
      <t>ゼイリツ</t>
    </rPh>
    <phoneticPr fontId="2"/>
  </si>
  <si>
    <t>　１．年度途中で世帯の国保加入者が増減する方</t>
    <rPh sb="3" eb="5">
      <t>ネンド</t>
    </rPh>
    <rPh sb="5" eb="7">
      <t>トチュウ</t>
    </rPh>
    <rPh sb="8" eb="10">
      <t>セタイ</t>
    </rPh>
    <rPh sb="11" eb="13">
      <t>コクホ</t>
    </rPh>
    <rPh sb="13" eb="16">
      <t>カニュウシャ</t>
    </rPh>
    <rPh sb="17" eb="19">
      <t>ゾウゲン</t>
    </rPh>
    <rPh sb="21" eb="22">
      <t>カタ</t>
    </rPh>
    <phoneticPr fontId="2"/>
  </si>
  <si>
    <t>　２．年度途中で40歳・65歳・75歳になる方</t>
    <rPh sb="3" eb="5">
      <t>ネンド</t>
    </rPh>
    <rPh sb="5" eb="7">
      <t>トチュウ</t>
    </rPh>
    <rPh sb="10" eb="11">
      <t>サイ</t>
    </rPh>
    <rPh sb="14" eb="15">
      <t>サイ</t>
    </rPh>
    <rPh sb="18" eb="19">
      <t>サイ</t>
    </rPh>
    <rPh sb="22" eb="23">
      <t>カタ</t>
    </rPh>
    <phoneticPr fontId="2"/>
  </si>
  <si>
    <t>　３．分離課税・繰越控除等の申告をされた方</t>
    <rPh sb="3" eb="5">
      <t>ブンリ</t>
    </rPh>
    <rPh sb="5" eb="7">
      <t>カゼイ</t>
    </rPh>
    <rPh sb="8" eb="10">
      <t>クリコシ</t>
    </rPh>
    <rPh sb="10" eb="12">
      <t>コウジョ</t>
    </rPh>
    <rPh sb="12" eb="13">
      <t>トウ</t>
    </rPh>
    <rPh sb="14" eb="16">
      <t>シンコク</t>
    </rPh>
    <rPh sb="20" eb="21">
      <t>カタ</t>
    </rPh>
    <phoneticPr fontId="2"/>
  </si>
  <si>
    <t>　４．専従者控除または専従者給与のある方</t>
    <rPh sb="3" eb="6">
      <t>センジュウシャ</t>
    </rPh>
    <rPh sb="6" eb="8">
      <t>コウジョ</t>
    </rPh>
    <rPh sb="11" eb="14">
      <t>センジュウシャ</t>
    </rPh>
    <rPh sb="14" eb="16">
      <t>キュウヨ</t>
    </rPh>
    <rPh sb="19" eb="20">
      <t>カタ</t>
    </rPh>
    <phoneticPr fontId="2"/>
  </si>
  <si>
    <t>≪収入・所得の入力について≫</t>
    <rPh sb="1" eb="3">
      <t>シュウニュウ</t>
    </rPh>
    <rPh sb="4" eb="6">
      <t>ショトク</t>
    </rPh>
    <rPh sb="7" eb="9">
      <t>ニュウリョク</t>
    </rPh>
    <phoneticPr fontId="2"/>
  </si>
  <si>
    <r>
      <t>○「給与収入」、「年金収入」は各種控除</t>
    </r>
    <r>
      <rPr>
        <b/>
        <sz val="11"/>
        <color rgb="FFFF0000"/>
        <rFont val="ＭＳ Ｐゴシック"/>
        <family val="3"/>
        <charset val="128"/>
        <scheme val="minor"/>
      </rPr>
      <t>前</t>
    </r>
    <r>
      <rPr>
        <sz val="11"/>
        <color theme="1"/>
        <rFont val="ＭＳ Ｐゴシック"/>
        <family val="2"/>
        <scheme val="minor"/>
      </rPr>
      <t>の金額です。</t>
    </r>
    <rPh sb="2" eb="4">
      <t>キュウヨ</t>
    </rPh>
    <rPh sb="4" eb="6">
      <t>シュウニュウ</t>
    </rPh>
    <rPh sb="9" eb="11">
      <t>ネンキン</t>
    </rPh>
    <rPh sb="11" eb="13">
      <t>シュウニュウ</t>
    </rPh>
    <rPh sb="15" eb="17">
      <t>カクシュ</t>
    </rPh>
    <rPh sb="17" eb="19">
      <t>コウジョ</t>
    </rPh>
    <rPh sb="19" eb="20">
      <t>マエ</t>
    </rPh>
    <rPh sb="21" eb="23">
      <t>キンガク</t>
    </rPh>
    <phoneticPr fontId="2"/>
  </si>
  <si>
    <t>　 合計額を入力してください（非課税所得は除きます）。</t>
    <rPh sb="2" eb="5">
      <t>ゴウケイガク</t>
    </rPh>
    <rPh sb="6" eb="8">
      <t>ニュウリョク</t>
    </rPh>
    <rPh sb="15" eb="18">
      <t>ヒカゼイ</t>
    </rPh>
    <rPh sb="18" eb="20">
      <t>ショトク</t>
    </rPh>
    <rPh sb="21" eb="22">
      <t>ノゾ</t>
    </rPh>
    <phoneticPr fontId="2"/>
  </si>
  <si>
    <r>
      <t>○「その他雑所得」は</t>
    </r>
    <r>
      <rPr>
        <b/>
        <sz val="11"/>
        <color rgb="FFFF0000"/>
        <rFont val="ＭＳ Ｐゴシック"/>
        <family val="3"/>
        <charset val="128"/>
        <scheme val="minor"/>
      </rPr>
      <t>給与と年金を除く</t>
    </r>
    <r>
      <rPr>
        <sz val="11"/>
        <color theme="1"/>
        <rFont val="ＭＳ Ｐゴシック"/>
        <family val="2"/>
        <scheme val="minor"/>
      </rPr>
      <t>営業・農業・不動産等の所得の</t>
    </r>
    <rPh sb="4" eb="5">
      <t>タ</t>
    </rPh>
    <rPh sb="5" eb="6">
      <t>ザツ</t>
    </rPh>
    <rPh sb="6" eb="8">
      <t>ショトク</t>
    </rPh>
    <rPh sb="10" eb="12">
      <t>キュウヨ</t>
    </rPh>
    <rPh sb="13" eb="15">
      <t>ネンキン</t>
    </rPh>
    <rPh sb="16" eb="17">
      <t>ノゾ</t>
    </rPh>
    <rPh sb="18" eb="20">
      <t>エイギョウ</t>
    </rPh>
    <rPh sb="21" eb="23">
      <t>ノウギョウ</t>
    </rPh>
    <rPh sb="24" eb="27">
      <t>フドウサン</t>
    </rPh>
    <rPh sb="27" eb="28">
      <t>トウ</t>
    </rPh>
    <rPh sb="29" eb="31">
      <t>ショトク</t>
    </rPh>
    <phoneticPr fontId="2"/>
  </si>
  <si>
    <t>○世帯主が国保に加入していない場合も、国保税の軽減判定を行う</t>
    <rPh sb="1" eb="4">
      <t>セタイヌシ</t>
    </rPh>
    <rPh sb="5" eb="7">
      <t>コクホ</t>
    </rPh>
    <rPh sb="8" eb="10">
      <t>カニュウ</t>
    </rPh>
    <rPh sb="15" eb="17">
      <t>バアイ</t>
    </rPh>
    <rPh sb="19" eb="22">
      <t>コクホゼイ</t>
    </rPh>
    <rPh sb="23" eb="25">
      <t>ケイゲン</t>
    </rPh>
    <rPh sb="25" eb="27">
      <t>ハンテイ</t>
    </rPh>
    <rPh sb="28" eb="29">
      <t>オコナ</t>
    </rPh>
    <phoneticPr fontId="2"/>
  </si>
  <si>
    <t>　 ために世帯主の所得の入力が必要となりますのでご注意ください。</t>
    <rPh sb="5" eb="8">
      <t>セタイヌシ</t>
    </rPh>
    <rPh sb="9" eb="11">
      <t>ショトク</t>
    </rPh>
    <rPh sb="12" eb="14">
      <t>ニュウリョク</t>
    </rPh>
    <rPh sb="15" eb="17">
      <t>ヒツヨウ</t>
    </rPh>
    <rPh sb="25" eb="27">
      <t>チュウイ</t>
    </rPh>
    <phoneticPr fontId="2"/>
  </si>
  <si>
    <t>○源泉徴収票や確定申告書をお持ちの方は下を参考にご記入ください。</t>
    <rPh sb="1" eb="3">
      <t>ゲンセン</t>
    </rPh>
    <rPh sb="3" eb="6">
      <t>チョウシュウヒョウ</t>
    </rPh>
    <rPh sb="7" eb="9">
      <t>カクテイ</t>
    </rPh>
    <rPh sb="9" eb="12">
      <t>シンコクショ</t>
    </rPh>
    <rPh sb="14" eb="15">
      <t>モ</t>
    </rPh>
    <rPh sb="17" eb="18">
      <t>カタ</t>
    </rPh>
    <rPh sb="19" eb="20">
      <t>シタ</t>
    </rPh>
    <rPh sb="21" eb="23">
      <t>サンコウ</t>
    </rPh>
    <rPh sb="25" eb="27">
      <t>キニュウ</t>
    </rPh>
    <phoneticPr fontId="2"/>
  </si>
  <si>
    <t xml:space="preserve"> 　を入力してください。</t>
    <phoneticPr fontId="2"/>
  </si>
  <si>
    <t>①→②→③の順で</t>
    <phoneticPr fontId="2"/>
  </si>
  <si>
    <t>のセルに入力してください。</t>
    <phoneticPr fontId="2"/>
  </si>
  <si>
    <t>　　※支払いイメージは年度当初から継続して</t>
    <rPh sb="3" eb="5">
      <t>シハライ</t>
    </rPh>
    <rPh sb="11" eb="13">
      <t>ネンド</t>
    </rPh>
    <rPh sb="13" eb="15">
      <t>トウショ</t>
    </rPh>
    <rPh sb="17" eb="19">
      <t>ケイゾク</t>
    </rPh>
    <phoneticPr fontId="2"/>
  </si>
  <si>
    <t>　　　 加入した場合の支払い金額です。</t>
    <rPh sb="4" eb="6">
      <t>カニュウ</t>
    </rPh>
    <rPh sb="8" eb="10">
      <t>バアイ</t>
    </rPh>
    <rPh sb="11" eb="13">
      <t>シハライ</t>
    </rPh>
    <rPh sb="14" eb="16">
      <t>キンガク</t>
    </rPh>
    <phoneticPr fontId="2"/>
  </si>
  <si>
    <t>　　　 年度途中で加入した場合や、加入手続</t>
    <rPh sb="4" eb="6">
      <t>ネンド</t>
    </rPh>
    <rPh sb="6" eb="8">
      <t>トチュウ</t>
    </rPh>
    <rPh sb="9" eb="11">
      <t>カニュウ</t>
    </rPh>
    <rPh sb="13" eb="15">
      <t>バアイ</t>
    </rPh>
    <rPh sb="17" eb="19">
      <t>カニュウ</t>
    </rPh>
    <rPh sb="19" eb="21">
      <t>テツヅ</t>
    </rPh>
    <phoneticPr fontId="2"/>
  </si>
  <si>
    <t>　　　 きが遅れた場合には支払い回数や金額</t>
    <rPh sb="6" eb="7">
      <t>オク</t>
    </rPh>
    <rPh sb="9" eb="11">
      <t>バアイ</t>
    </rPh>
    <rPh sb="13" eb="15">
      <t>シハライ</t>
    </rPh>
    <rPh sb="16" eb="18">
      <t>カイスウ</t>
    </rPh>
    <rPh sb="19" eb="21">
      <t>キンガク</t>
    </rPh>
    <phoneticPr fontId="2"/>
  </si>
  <si>
    <t>　　　 納付いただく世帯では支払回数が異な</t>
    <rPh sb="4" eb="6">
      <t>ノウフ</t>
    </rPh>
    <rPh sb="10" eb="12">
      <t>セタイ</t>
    </rPh>
    <rPh sb="14" eb="16">
      <t>シハライ</t>
    </rPh>
    <rPh sb="16" eb="18">
      <t>カイスウ</t>
    </rPh>
    <rPh sb="19" eb="20">
      <t>コト</t>
    </rPh>
    <phoneticPr fontId="2"/>
  </si>
  <si>
    <t>　　　 ります。</t>
    <phoneticPr fontId="2"/>
  </si>
  <si>
    <t>　　※特別徴収（年金からの天引き）により</t>
    <rPh sb="3" eb="5">
      <t>トクベツ</t>
    </rPh>
    <rPh sb="5" eb="7">
      <t>チョウシュウ</t>
    </rPh>
    <rPh sb="8" eb="10">
      <t>ネンキン</t>
    </rPh>
    <rPh sb="13" eb="15">
      <t>テンビ</t>
    </rPh>
    <phoneticPr fontId="2"/>
  </si>
  <si>
    <t>入力収入</t>
    <rPh sb="0" eb="2">
      <t>ニュウリョク</t>
    </rPh>
    <rPh sb="2" eb="4">
      <t>シュウニュウ</t>
    </rPh>
    <phoneticPr fontId="2"/>
  </si>
  <si>
    <t>計算所得</t>
    <rPh sb="0" eb="2">
      <t>ケイサン</t>
    </rPh>
    <rPh sb="2" eb="4">
      <t>ショトク</t>
    </rPh>
    <phoneticPr fontId="2"/>
  </si>
  <si>
    <t>年金所得（軽判）</t>
    <rPh sb="0" eb="2">
      <t>ネンキン</t>
    </rPh>
    <rPh sb="2" eb="4">
      <t>ショトク</t>
    </rPh>
    <rPh sb="5" eb="6">
      <t>ケイ</t>
    </rPh>
    <rPh sb="6" eb="7">
      <t>ハン</t>
    </rPh>
    <phoneticPr fontId="2"/>
  </si>
  <si>
    <t>入力その他所得</t>
    <rPh sb="0" eb="2">
      <t>ニュウリョク</t>
    </rPh>
    <rPh sb="4" eb="5">
      <t>タ</t>
    </rPh>
    <rPh sb="5" eb="7">
      <t>ショトク</t>
    </rPh>
    <phoneticPr fontId="2"/>
  </si>
  <si>
    <t>軽減判定</t>
    <rPh sb="0" eb="2">
      <t>ケイゲン</t>
    </rPh>
    <rPh sb="2" eb="4">
      <t>ハンテイ</t>
    </rPh>
    <phoneticPr fontId="2"/>
  </si>
  <si>
    <t>介護世帯</t>
    <rPh sb="0" eb="2">
      <t>カイゴ</t>
    </rPh>
    <rPh sb="2" eb="4">
      <t>セタイ</t>
    </rPh>
    <phoneticPr fontId="2"/>
  </si>
  <si>
    <t>主・擬主判定</t>
    <rPh sb="0" eb="1">
      <t>ヌシ</t>
    </rPh>
    <rPh sb="2" eb="3">
      <t>ギ</t>
    </rPh>
    <rPh sb="3" eb="4">
      <t>ヌシ</t>
    </rPh>
    <rPh sb="4" eb="6">
      <t>ハンテイ</t>
    </rPh>
    <phoneticPr fontId="2"/>
  </si>
  <si>
    <t>第１期</t>
    <rPh sb="0" eb="1">
      <t>ダイ</t>
    </rPh>
    <rPh sb="2" eb="3">
      <t>キ</t>
    </rPh>
    <phoneticPr fontId="2"/>
  </si>
  <si>
    <t>第２期</t>
    <rPh sb="0" eb="1">
      <t>ダイ</t>
    </rPh>
    <rPh sb="2" eb="3">
      <t>キ</t>
    </rPh>
    <phoneticPr fontId="2"/>
  </si>
  <si>
    <t>第３期</t>
    <rPh sb="0" eb="1">
      <t>ダイ</t>
    </rPh>
    <rPh sb="2" eb="3">
      <t>キ</t>
    </rPh>
    <phoneticPr fontId="2"/>
  </si>
  <si>
    <t>第４期</t>
    <rPh sb="0" eb="1">
      <t>ダイ</t>
    </rPh>
    <rPh sb="2" eb="3">
      <t>キ</t>
    </rPh>
    <phoneticPr fontId="2"/>
  </si>
  <si>
    <t>第５期</t>
    <rPh sb="0" eb="1">
      <t>ダイ</t>
    </rPh>
    <rPh sb="2" eb="3">
      <t>キ</t>
    </rPh>
    <phoneticPr fontId="2"/>
  </si>
  <si>
    <t>第６期</t>
    <rPh sb="0" eb="1">
      <t>ダイ</t>
    </rPh>
    <rPh sb="2" eb="3">
      <t>キ</t>
    </rPh>
    <phoneticPr fontId="2"/>
  </si>
  <si>
    <t>第７期</t>
    <rPh sb="0" eb="1">
      <t>ダイ</t>
    </rPh>
    <rPh sb="2" eb="3">
      <t>キ</t>
    </rPh>
    <phoneticPr fontId="2"/>
  </si>
  <si>
    <t>第８期</t>
    <rPh sb="0" eb="1">
      <t>ダイ</t>
    </rPh>
    <rPh sb="2" eb="3">
      <t>キ</t>
    </rPh>
    <phoneticPr fontId="2"/>
  </si>
  <si>
    <t>第９期</t>
    <rPh sb="0" eb="1">
      <t>ダイ</t>
    </rPh>
    <rPh sb="2" eb="3">
      <t>キ</t>
    </rPh>
    <phoneticPr fontId="2"/>
  </si>
  <si>
    <t>給与収入
（円）</t>
    <rPh sb="0" eb="2">
      <t>キュウヨ</t>
    </rPh>
    <rPh sb="2" eb="4">
      <t>シュウニュウ</t>
    </rPh>
    <rPh sb="6" eb="7">
      <t>エン</t>
    </rPh>
    <phoneticPr fontId="2"/>
  </si>
  <si>
    <t>年金収入
（円）</t>
    <rPh sb="0" eb="2">
      <t>ネンキン</t>
    </rPh>
    <rPh sb="2" eb="4">
      <t>シュウニュウ</t>
    </rPh>
    <phoneticPr fontId="2"/>
  </si>
  <si>
    <t>その他
所得（円）</t>
    <rPh sb="2" eb="3">
      <t>タ</t>
    </rPh>
    <rPh sb="4" eb="6">
      <t>ショトク</t>
    </rPh>
    <phoneticPr fontId="2"/>
  </si>
  <si>
    <t>人数・所得等</t>
    <rPh sb="0" eb="2">
      <t>ニンズウ</t>
    </rPh>
    <rPh sb="3" eb="5">
      <t>ショトク</t>
    </rPh>
    <rPh sb="5" eb="6">
      <t>トウ</t>
    </rPh>
    <phoneticPr fontId="2"/>
  </si>
  <si>
    <t>①国保の加入者（加入予定者）は何人ですか。</t>
    <rPh sb="1" eb="3">
      <t>コクホ</t>
    </rPh>
    <rPh sb="4" eb="7">
      <t>カニュウシャ</t>
    </rPh>
    <rPh sb="8" eb="10">
      <t>カニュウ</t>
    </rPh>
    <rPh sb="10" eb="13">
      <t>ヨテイシャ</t>
    </rPh>
    <rPh sb="15" eb="17">
      <t>ナンニン</t>
    </rPh>
    <phoneticPr fontId="2"/>
  </si>
  <si>
    <r>
      <t>１か月当たり税額</t>
    </r>
    <r>
      <rPr>
        <sz val="10"/>
        <color rgb="FF0070C0"/>
        <rFont val="ＭＳ Ｐゴシック"/>
        <family val="3"/>
        <charset val="128"/>
        <scheme val="minor"/>
      </rPr>
      <t>※</t>
    </r>
    <rPh sb="2" eb="3">
      <t>ゲツ</t>
    </rPh>
    <rPh sb="3" eb="4">
      <t>ア</t>
    </rPh>
    <rPh sb="6" eb="8">
      <t>ゼイガク</t>
    </rPh>
    <phoneticPr fontId="2"/>
  </si>
  <si>
    <t>加入判定</t>
    <rPh sb="0" eb="2">
      <t>カニュウ</t>
    </rPh>
    <rPh sb="2" eb="4">
      <t>ハンテイ</t>
    </rPh>
    <phoneticPr fontId="2"/>
  </si>
  <si>
    <t>後期支援金分</t>
    <rPh sb="0" eb="2">
      <t>コウキ</t>
    </rPh>
    <rPh sb="2" eb="4">
      <t>シエン</t>
    </rPh>
    <rPh sb="4" eb="6">
      <t>キンブン</t>
    </rPh>
    <phoneticPr fontId="2"/>
  </si>
  <si>
    <t xml:space="preserve">④に年間税額の計算結果、⑤に支払いイメージが表示されます。
</t>
    <phoneticPr fontId="2"/>
  </si>
  <si>
    <t>均等割額</t>
    <rPh sb="0" eb="3">
      <t>キントウワ</t>
    </rPh>
    <rPh sb="3" eb="4">
      <t>ガク</t>
    </rPh>
    <phoneticPr fontId="2"/>
  </si>
  <si>
    <t>平等割額</t>
    <rPh sb="0" eb="3">
      <t>ビョウドウワ</t>
    </rPh>
    <rPh sb="3" eb="4">
      <t>ガク</t>
    </rPh>
    <phoneticPr fontId="2"/>
  </si>
  <si>
    <t>課税所得額</t>
    <rPh sb="0" eb="2">
      <t>カゼイ</t>
    </rPh>
    <rPh sb="2" eb="4">
      <t>ショトク</t>
    </rPh>
    <rPh sb="4" eb="5">
      <t>ガク</t>
    </rPh>
    <phoneticPr fontId="2"/>
  </si>
  <si>
    <t>所得割率</t>
    <rPh sb="0" eb="3">
      <t>ショトクワリ</t>
    </rPh>
    <rPh sb="3" eb="4">
      <t>リツ</t>
    </rPh>
    <phoneticPr fontId="2"/>
  </si>
  <si>
    <t>算出額</t>
    <rPh sb="0" eb="3">
      <t>サンシュツガク</t>
    </rPh>
    <phoneticPr fontId="2"/>
  </si>
  <si>
    <t>①</t>
    <phoneticPr fontId="2"/>
  </si>
  <si>
    <t>②</t>
    <phoneticPr fontId="2"/>
  </si>
  <si>
    <t>③</t>
    <phoneticPr fontId="2"/>
  </si>
  <si>
    <t>算出額</t>
    <rPh sb="0" eb="2">
      <t>サンシュツ</t>
    </rPh>
    <rPh sb="2" eb="3">
      <t>ガク</t>
    </rPh>
    <phoneticPr fontId="2"/>
  </si>
  <si>
    <t>軽減割合</t>
    <rPh sb="0" eb="2">
      <t>ケイゲン</t>
    </rPh>
    <rPh sb="2" eb="4">
      <t>ワリアイ</t>
    </rPh>
    <phoneticPr fontId="2"/>
  </si>
  <si>
    <t>人数</t>
    <rPh sb="0" eb="2">
      <t>ニンズウ</t>
    </rPh>
    <phoneticPr fontId="2"/>
  </si>
  <si>
    <t>④</t>
    <phoneticPr fontId="2"/>
  </si>
  <si>
    <t>⑤</t>
    <phoneticPr fontId="2"/>
  </si>
  <si>
    <t>⑥</t>
    <phoneticPr fontId="2"/>
  </si>
  <si>
    <t>⑦</t>
    <phoneticPr fontId="2"/>
  </si>
  <si>
    <t>平等割</t>
    <rPh sb="0" eb="3">
      <t>ビョウドウワリ</t>
    </rPh>
    <phoneticPr fontId="2"/>
  </si>
  <si>
    <t>⑧</t>
    <phoneticPr fontId="2"/>
  </si>
  <si>
    <t>軽減（</t>
    <rPh sb="0" eb="2">
      <t>ケイゲン</t>
    </rPh>
    <phoneticPr fontId="2"/>
  </si>
  <si>
    <t>）</t>
    <phoneticPr fontId="2"/>
  </si>
  <si>
    <t>均等割</t>
    <rPh sb="0" eb="3">
      <t>キントウワ</t>
    </rPh>
    <phoneticPr fontId="2"/>
  </si>
  <si>
    <t>所得割</t>
    <rPh sb="0" eb="3">
      <t>ショトクワリ</t>
    </rPh>
    <phoneticPr fontId="2"/>
  </si>
  <si>
    <t>算出額計</t>
    <rPh sb="0" eb="3">
      <t>サンシュツガク</t>
    </rPh>
    <rPh sb="3" eb="4">
      <t>ケイ</t>
    </rPh>
    <phoneticPr fontId="2"/>
  </si>
  <si>
    <t>軽減前均等割・平等割</t>
    <rPh sb="0" eb="2">
      <t>ケイゲン</t>
    </rPh>
    <rPh sb="2" eb="3">
      <t>マエ</t>
    </rPh>
    <rPh sb="3" eb="6">
      <t>キントウワリ</t>
    </rPh>
    <rPh sb="7" eb="9">
      <t>ビョウドウ</t>
    </rPh>
    <rPh sb="9" eb="10">
      <t>ワリ</t>
    </rPh>
    <phoneticPr fontId="2"/>
  </si>
  <si>
    <t>均等割・平等割軽減額</t>
    <rPh sb="0" eb="3">
      <t>キントウワ</t>
    </rPh>
    <rPh sb="4" eb="6">
      <t>ビョウドウ</t>
    </rPh>
    <rPh sb="6" eb="7">
      <t>ワリ</t>
    </rPh>
    <rPh sb="7" eb="10">
      <t>ケイゲンガク</t>
    </rPh>
    <phoneticPr fontId="2"/>
  </si>
  <si>
    <t>医療分</t>
    <rPh sb="0" eb="2">
      <t>イリョウ</t>
    </rPh>
    <rPh sb="2" eb="3">
      <t>ブン</t>
    </rPh>
    <phoneticPr fontId="2"/>
  </si>
  <si>
    <t>後期支援金分</t>
    <rPh sb="0" eb="2">
      <t>コウキ</t>
    </rPh>
    <rPh sb="2" eb="4">
      <t>シエン</t>
    </rPh>
    <rPh sb="4" eb="6">
      <t>キンブン</t>
    </rPh>
    <phoneticPr fontId="2"/>
  </si>
  <si>
    <t>課税限度額</t>
    <rPh sb="0" eb="2">
      <t>カゼイ</t>
    </rPh>
    <rPh sb="2" eb="5">
      <t>ゲンドガク</t>
    </rPh>
    <phoneticPr fontId="2"/>
  </si>
  <si>
    <t>計算結果</t>
    <rPh sb="0" eb="2">
      <t>ケイサン</t>
    </rPh>
    <rPh sb="2" eb="4">
      <t>ケッカ</t>
    </rPh>
    <phoneticPr fontId="2"/>
  </si>
  <si>
    <t>①×②</t>
    <phoneticPr fontId="2"/>
  </si>
  <si>
    <t>計算の対象者</t>
    <rPh sb="0" eb="2">
      <t>ケイサン</t>
    </rPh>
    <rPh sb="3" eb="6">
      <t>タイショウシャ</t>
    </rPh>
    <phoneticPr fontId="2"/>
  </si>
  <si>
    <t>加入者全員</t>
    <rPh sb="0" eb="3">
      <t>カニュウシャ</t>
    </rPh>
    <rPh sb="3" eb="5">
      <t>ゼンイン</t>
    </rPh>
    <phoneticPr fontId="2"/>
  </si>
  <si>
    <t>40～64歳の加入者</t>
    <rPh sb="5" eb="6">
      <t>サイ</t>
    </rPh>
    <rPh sb="7" eb="10">
      <t>カニュウシャ</t>
    </rPh>
    <phoneticPr fontId="2"/>
  </si>
  <si>
    <r>
      <t xml:space="preserve">均等割額
</t>
    </r>
    <r>
      <rPr>
        <sz val="10"/>
        <color theme="1"/>
        <rFont val="ＭＳ Ｐゴシック"/>
        <family val="3"/>
        <charset val="128"/>
        <scheme val="minor"/>
      </rPr>
      <t>（一人あたり）</t>
    </r>
    <rPh sb="0" eb="3">
      <t>キントウワ</t>
    </rPh>
    <rPh sb="3" eb="4">
      <t>ガク</t>
    </rPh>
    <rPh sb="6" eb="8">
      <t>ヒトリ</t>
    </rPh>
    <phoneticPr fontId="2"/>
  </si>
  <si>
    <t>④×⑤</t>
    <phoneticPr fontId="2"/>
  </si>
  <si>
    <t>⑥×軽減割合</t>
    <rPh sb="2" eb="4">
      <t>ケイゲン</t>
    </rPh>
    <rPh sb="4" eb="6">
      <t>ワリアイ</t>
    </rPh>
    <phoneticPr fontId="2"/>
  </si>
  <si>
    <t>軽減基準額</t>
    <rPh sb="0" eb="2">
      <t>ケイゲン</t>
    </rPh>
    <rPh sb="2" eb="5">
      <t>キジュンガク</t>
    </rPh>
    <phoneticPr fontId="2"/>
  </si>
  <si>
    <t>７割</t>
    <rPh sb="1" eb="2">
      <t>ワリ</t>
    </rPh>
    <phoneticPr fontId="2"/>
  </si>
  <si>
    <t>５割</t>
    <rPh sb="1" eb="2">
      <t>ワリ</t>
    </rPh>
    <phoneticPr fontId="2"/>
  </si>
  <si>
    <t>２割</t>
    <rPh sb="1" eb="2">
      <t>ワリ</t>
    </rPh>
    <phoneticPr fontId="2"/>
  </si>
  <si>
    <t>○税額計算結果の内訳</t>
    <rPh sb="1" eb="3">
      <t>ゼイガク</t>
    </rPh>
    <rPh sb="3" eb="5">
      <t>ケイサン</t>
    </rPh>
    <rPh sb="5" eb="7">
      <t>ケッカ</t>
    </rPh>
    <rPh sb="8" eb="10">
      <t>ウチワケ</t>
    </rPh>
    <phoneticPr fontId="2"/>
  </si>
  <si>
    <t>年税額</t>
    <rPh sb="0" eb="3">
      <t>ネンゼイガク</t>
    </rPh>
    <phoneticPr fontId="2"/>
  </si>
  <si>
    <t>※電話による試算もお受けします。ご希望の方は下記にお問い合わせください。</t>
    <rPh sb="1" eb="3">
      <t>デンワ</t>
    </rPh>
    <rPh sb="6" eb="8">
      <t>シサン</t>
    </rPh>
    <rPh sb="10" eb="11">
      <t>ウ</t>
    </rPh>
    <rPh sb="17" eb="19">
      <t>キボウ</t>
    </rPh>
    <rPh sb="20" eb="21">
      <t>カタ</t>
    </rPh>
    <rPh sb="22" eb="24">
      <t>カキ</t>
    </rPh>
    <rPh sb="26" eb="27">
      <t>ト</t>
    </rPh>
    <rPh sb="28" eb="29">
      <t>ア</t>
    </rPh>
    <phoneticPr fontId="2"/>
  </si>
  <si>
    <t>※他の健康保険の保険料月額と比較する
　 際はこの額を参考にしてください。</t>
    <rPh sb="1" eb="2">
      <t>タ</t>
    </rPh>
    <rPh sb="3" eb="5">
      <t>ケンコウ</t>
    </rPh>
    <rPh sb="5" eb="7">
      <t>ホケン</t>
    </rPh>
    <rPh sb="8" eb="11">
      <t>ホケンリョウ</t>
    </rPh>
    <rPh sb="11" eb="13">
      <t>ゲツガク</t>
    </rPh>
    <rPh sb="14" eb="16">
      <t>ヒカク</t>
    </rPh>
    <rPh sb="25" eb="26">
      <t>ガク</t>
    </rPh>
    <phoneticPr fontId="2"/>
  </si>
  <si>
    <t>　　　 が異なりますのでご注意ください。</t>
    <rPh sb="5" eb="6">
      <t>コト</t>
    </rPh>
    <rPh sb="13" eb="15">
      <t>チュウイ</t>
    </rPh>
    <phoneticPr fontId="2"/>
  </si>
  <si>
    <r>
      <t>②</t>
    </r>
    <r>
      <rPr>
        <b/>
        <sz val="11"/>
        <color rgb="FFFF0000"/>
        <rFont val="ＭＳ Ｐゴシック"/>
        <family val="3"/>
        <charset val="128"/>
        <scheme val="minor"/>
      </rPr>
      <t>住民票上の世帯主</t>
    </r>
    <r>
      <rPr>
        <b/>
        <sz val="11"/>
        <color theme="1"/>
        <rFont val="ＭＳ Ｐゴシック"/>
        <family val="3"/>
        <charset val="128"/>
        <scheme val="minor"/>
      </rPr>
      <t>は国保に加入していますか（加入予定の場合も「加入している」を選択してください）。</t>
    </r>
    <rPh sb="1" eb="4">
      <t>ジュウミンヒョウ</t>
    </rPh>
    <rPh sb="4" eb="5">
      <t>ジョウ</t>
    </rPh>
    <rPh sb="6" eb="9">
      <t>セタイヌシ</t>
    </rPh>
    <rPh sb="10" eb="12">
      <t>コクホ</t>
    </rPh>
    <rPh sb="13" eb="15">
      <t>カニュウ</t>
    </rPh>
    <rPh sb="22" eb="24">
      <t>カニュウ</t>
    </rPh>
    <rPh sb="24" eb="26">
      <t>ヨテイ</t>
    </rPh>
    <rPh sb="27" eb="29">
      <t>バアイ</t>
    </rPh>
    <rPh sb="31" eb="33">
      <t>カニュウ</t>
    </rPh>
    <rPh sb="39" eb="41">
      <t>センタク</t>
    </rPh>
    <phoneticPr fontId="2"/>
  </si>
  <si>
    <t>年齢</t>
    <rPh sb="0" eb="2">
      <t>ネンレイ</t>
    </rPh>
    <phoneticPr fontId="2"/>
  </si>
  <si>
    <t>○年齢が75歳以上の人は後期高齢者医療制度の加入者となりますので、この計算シートでは保険料の計算ができません。</t>
    <rPh sb="1" eb="3">
      <t>ネンレイ</t>
    </rPh>
    <rPh sb="6" eb="7">
      <t>サイ</t>
    </rPh>
    <rPh sb="7" eb="9">
      <t>イジョウ</t>
    </rPh>
    <rPh sb="10" eb="11">
      <t>ヒト</t>
    </rPh>
    <rPh sb="12" eb="14">
      <t>コウキ</t>
    </rPh>
    <rPh sb="14" eb="17">
      <t>コウレイシャ</t>
    </rPh>
    <rPh sb="17" eb="19">
      <t>イリョウ</t>
    </rPh>
    <rPh sb="19" eb="21">
      <t>セイド</t>
    </rPh>
    <rPh sb="22" eb="24">
      <t>カニュウ</t>
    </rPh>
    <rPh sb="24" eb="25">
      <t>シャ</t>
    </rPh>
    <rPh sb="35" eb="37">
      <t>ケイサン</t>
    </rPh>
    <rPh sb="42" eb="45">
      <t>ホケンリョウ</t>
    </rPh>
    <rPh sb="46" eb="48">
      <t>ケイサン</t>
    </rPh>
    <phoneticPr fontId="2"/>
  </si>
  <si>
    <t>≪使い方≫　</t>
    <phoneticPr fontId="2"/>
  </si>
  <si>
    <t>印刷日：</t>
    <rPh sb="0" eb="2">
      <t>インサツ</t>
    </rPh>
    <rPh sb="2" eb="3">
      <t>ビ</t>
    </rPh>
    <phoneticPr fontId="2"/>
  </si>
  <si>
    <t>　６．世帯内に国民健康保険から後期高齢者医療保険へ移行された方（特定</t>
    <phoneticPr fontId="2"/>
  </si>
  <si>
    <t>　　　同一世帯所属者）がいる方</t>
    <phoneticPr fontId="2"/>
  </si>
  <si>
    <t>○この計算結果はあくまでも試算であり、実際の課税額とは異なる場合があります。</t>
    <rPh sb="3" eb="5">
      <t>ケイサン</t>
    </rPh>
    <rPh sb="5" eb="7">
      <t>ケッカ</t>
    </rPh>
    <rPh sb="13" eb="15">
      <t>シサン</t>
    </rPh>
    <rPh sb="19" eb="21">
      <t>ジッサイ</t>
    </rPh>
    <rPh sb="22" eb="25">
      <t>カゼイガク</t>
    </rPh>
    <rPh sb="27" eb="28">
      <t>コト</t>
    </rPh>
    <rPh sb="30" eb="32">
      <t>バアイ</t>
    </rPh>
    <phoneticPr fontId="2"/>
  </si>
  <si>
    <t>給与所得者等</t>
    <rPh sb="0" eb="2">
      <t>キュウヨ</t>
    </rPh>
    <rPh sb="2" eb="5">
      <t>ショトクシャ</t>
    </rPh>
    <rPh sb="5" eb="6">
      <t>トウ</t>
    </rPh>
    <phoneticPr fontId="2"/>
  </si>
  <si>
    <t>所得金額調整控除</t>
    <rPh sb="0" eb="2">
      <t>ショトク</t>
    </rPh>
    <rPh sb="2" eb="4">
      <t>キンガク</t>
    </rPh>
    <rPh sb="4" eb="6">
      <t>チョウセイ</t>
    </rPh>
    <rPh sb="6" eb="8">
      <t>コウジョ</t>
    </rPh>
    <phoneticPr fontId="2"/>
  </si>
  <si>
    <t>給与所得（調整控除後）</t>
    <rPh sb="0" eb="2">
      <t>キュウヨ</t>
    </rPh>
    <rPh sb="2" eb="4">
      <t>ショトク</t>
    </rPh>
    <rPh sb="5" eb="7">
      <t>チョウセイ</t>
    </rPh>
    <rPh sb="7" eb="9">
      <t>コウジョ</t>
    </rPh>
    <rPh sb="9" eb="10">
      <t>ゴ</t>
    </rPh>
    <phoneticPr fontId="2"/>
  </si>
  <si>
    <t>給与所得者等フラグ</t>
    <rPh sb="0" eb="2">
      <t>キュウヨ</t>
    </rPh>
    <rPh sb="2" eb="5">
      <t>ショトクシャ</t>
    </rPh>
    <rPh sb="5" eb="6">
      <t>トウ</t>
    </rPh>
    <phoneticPr fontId="2"/>
  </si>
  <si>
    <t>給与所得者等世帯</t>
    <rPh sb="0" eb="2">
      <t>キュウヨ</t>
    </rPh>
    <rPh sb="2" eb="5">
      <t>ショトクシャ</t>
    </rPh>
    <rPh sb="5" eb="6">
      <t>トウ</t>
    </rPh>
    <rPh sb="6" eb="8">
      <t>セタイ</t>
    </rPh>
    <phoneticPr fontId="2"/>
  </si>
  <si>
    <t>軽減割合</t>
    <rPh sb="0" eb="2">
      <t>ケイゲン</t>
    </rPh>
    <rPh sb="2" eb="4">
      <t>ワリアイ</t>
    </rPh>
    <phoneticPr fontId="2"/>
  </si>
  <si>
    <t>基礎</t>
    <rPh sb="0" eb="2">
      <t>キソ</t>
    </rPh>
    <phoneticPr fontId="2"/>
  </si>
  <si>
    <t>加入者</t>
    <rPh sb="0" eb="3">
      <t>カニュウシャ</t>
    </rPh>
    <phoneticPr fontId="2"/>
  </si>
  <si>
    <t>給与所得者等</t>
    <rPh sb="0" eb="2">
      <t>キュウヨ</t>
    </rPh>
    <rPh sb="2" eb="5">
      <t>ショトクシャ</t>
    </rPh>
    <rPh sb="5" eb="6">
      <t>トウ</t>
    </rPh>
    <phoneticPr fontId="2"/>
  </si>
  <si>
    <t>年齢</t>
    <rPh sb="0" eb="2">
      <t>ネンレイ</t>
    </rPh>
    <phoneticPr fontId="2"/>
  </si>
  <si>
    <t>◆①の課税所得額は、対象者の所得からそれぞれ基礎控除43万円を引いた額の合計です。</t>
    <rPh sb="3" eb="5">
      <t>カゼイ</t>
    </rPh>
    <rPh sb="5" eb="7">
      <t>ショトク</t>
    </rPh>
    <rPh sb="7" eb="8">
      <t>ガク</t>
    </rPh>
    <rPh sb="10" eb="13">
      <t>タイショウシャ</t>
    </rPh>
    <rPh sb="14" eb="16">
      <t>ショトク</t>
    </rPh>
    <rPh sb="22" eb="24">
      <t>キソ</t>
    </rPh>
    <rPh sb="24" eb="26">
      <t>コウジョ</t>
    </rPh>
    <rPh sb="28" eb="30">
      <t>マンエン</t>
    </rPh>
    <rPh sb="31" eb="32">
      <t>ヒ</t>
    </rPh>
    <rPh sb="34" eb="35">
      <t>ガク</t>
    </rPh>
    <phoneticPr fontId="2"/>
  </si>
  <si>
    <t>○特に以下の条件に該当される方は正確な保険税計算ができない場合があります。</t>
    <rPh sb="1" eb="2">
      <t>トク</t>
    </rPh>
    <rPh sb="3" eb="5">
      <t>イカ</t>
    </rPh>
    <rPh sb="6" eb="8">
      <t>ジョウケン</t>
    </rPh>
    <rPh sb="9" eb="11">
      <t>ガイトウ</t>
    </rPh>
    <rPh sb="14" eb="15">
      <t>カタ</t>
    </rPh>
    <rPh sb="16" eb="18">
      <t>セイカク</t>
    </rPh>
    <rPh sb="19" eb="21">
      <t>ホケン</t>
    </rPh>
    <rPh sb="21" eb="22">
      <t>ゼイ</t>
    </rPh>
    <rPh sb="22" eb="24">
      <t>ケイサン</t>
    </rPh>
    <rPh sb="29" eb="31">
      <t>バアイ</t>
    </rPh>
    <phoneticPr fontId="2"/>
  </si>
  <si>
    <t>　５．非自発的失業に係る保険税減額対象の方</t>
    <rPh sb="3" eb="7">
      <t>ヒジハツテキ</t>
    </rPh>
    <rPh sb="7" eb="9">
      <t>シツギョウ</t>
    </rPh>
    <rPh sb="10" eb="11">
      <t>カカ</t>
    </rPh>
    <rPh sb="12" eb="14">
      <t>ホケン</t>
    </rPh>
    <rPh sb="14" eb="15">
      <t>ゼイ</t>
    </rPh>
    <rPh sb="15" eb="17">
      <t>ゲンガク</t>
    </rPh>
    <rPh sb="17" eb="19">
      <t>タイショウ</t>
    </rPh>
    <rPh sb="20" eb="21">
      <t>カタ</t>
    </rPh>
    <phoneticPr fontId="2"/>
  </si>
  <si>
    <r>
      <rPr>
        <b/>
        <sz val="14"/>
        <rFont val="ＭＳ Ｐゴシック"/>
        <family val="3"/>
        <charset val="128"/>
        <scheme val="minor"/>
      </rPr>
      <t>令和８</t>
    </r>
    <r>
      <rPr>
        <b/>
        <sz val="14"/>
        <color theme="1"/>
        <rFont val="ＭＳ Ｐゴシック"/>
        <family val="3"/>
        <charset val="128"/>
        <scheme val="minor"/>
      </rPr>
      <t>年度　沼田市国民健康保険税　計算シート</t>
    </r>
    <rPh sb="0" eb="2">
      <t>レイワ</t>
    </rPh>
    <rPh sb="3" eb="5">
      <t>ネンド</t>
    </rPh>
    <rPh sb="6" eb="9">
      <t>ヌマタシ</t>
    </rPh>
    <rPh sb="9" eb="11">
      <t>コクミン</t>
    </rPh>
    <rPh sb="11" eb="13">
      <t>ケンコウ</t>
    </rPh>
    <rPh sb="13" eb="16">
      <t>ホケンゼイ</t>
    </rPh>
    <rPh sb="17" eb="19">
      <t>ケイサン</t>
    </rPh>
    <phoneticPr fontId="2"/>
  </si>
  <si>
    <r>
      <t>③世帯主と国保加入者の年齢（</t>
    </r>
    <r>
      <rPr>
        <b/>
        <sz val="11"/>
        <color rgb="FFFF0000"/>
        <rFont val="ＭＳ Ｐゴシック"/>
        <family val="3"/>
        <charset val="128"/>
        <scheme val="minor"/>
      </rPr>
      <t>令和8年1月1日時点</t>
    </r>
    <r>
      <rPr>
        <b/>
        <sz val="11"/>
        <color theme="1"/>
        <rFont val="ＭＳ Ｐゴシック"/>
        <family val="3"/>
        <charset val="128"/>
        <scheme val="minor"/>
      </rPr>
      <t>）と</t>
    </r>
    <r>
      <rPr>
        <b/>
        <sz val="11"/>
        <color rgb="FFFF0000"/>
        <rFont val="ＭＳ Ｐゴシック"/>
        <family val="3"/>
        <charset val="128"/>
        <scheme val="minor"/>
      </rPr>
      <t>令和7年中</t>
    </r>
    <r>
      <rPr>
        <b/>
        <sz val="11"/>
        <rFont val="ＭＳ Ｐゴシック"/>
        <family val="3"/>
        <charset val="128"/>
        <scheme val="minor"/>
      </rPr>
      <t>の</t>
    </r>
    <r>
      <rPr>
        <b/>
        <sz val="11"/>
        <color theme="1"/>
        <rFont val="ＭＳ Ｐゴシック"/>
        <family val="3"/>
        <charset val="128"/>
        <scheme val="minor"/>
      </rPr>
      <t>収入・所得を入力してください。</t>
    </r>
    <rPh sb="1" eb="4">
      <t>セタイヌシ</t>
    </rPh>
    <rPh sb="5" eb="7">
      <t>コクホ</t>
    </rPh>
    <rPh sb="7" eb="10">
      <t>カニュウシャ</t>
    </rPh>
    <rPh sb="11" eb="13">
      <t>ネンレイ</t>
    </rPh>
    <rPh sb="14" eb="16">
      <t>レイワ</t>
    </rPh>
    <rPh sb="17" eb="18">
      <t>ネン</t>
    </rPh>
    <rPh sb="19" eb="20">
      <t>ガツ</t>
    </rPh>
    <rPh sb="21" eb="22">
      <t>ニチ</t>
    </rPh>
    <rPh sb="22" eb="24">
      <t>ジテン</t>
    </rPh>
    <rPh sb="26" eb="28">
      <t>レイワ</t>
    </rPh>
    <rPh sb="29" eb="30">
      <t>ネン</t>
    </rPh>
    <rPh sb="30" eb="31">
      <t>チュウ</t>
    </rPh>
    <rPh sb="32" eb="34">
      <t>シュウニュウ</t>
    </rPh>
    <rPh sb="35" eb="37">
      <t>ショトク</t>
    </rPh>
    <rPh sb="38" eb="40">
      <t>ニュウリョク</t>
    </rPh>
    <phoneticPr fontId="2"/>
  </si>
  <si>
    <t>子ども</t>
    <rPh sb="0" eb="1">
      <t>コ</t>
    </rPh>
    <phoneticPr fontId="2"/>
  </si>
  <si>
    <t>18歳以上均等割額</t>
    <rPh sb="2" eb="5">
      <t>サイイジョウ</t>
    </rPh>
    <rPh sb="5" eb="7">
      <t>キントウ</t>
    </rPh>
    <rPh sb="7" eb="8">
      <t>ワリ</t>
    </rPh>
    <rPh sb="8" eb="9">
      <t>ガク</t>
    </rPh>
    <phoneticPr fontId="2"/>
  </si>
  <si>
    <t>子ども分</t>
    <rPh sb="0" eb="1">
      <t>コ</t>
    </rPh>
    <rPh sb="3" eb="4">
      <t>ブン</t>
    </rPh>
    <phoneticPr fontId="2"/>
  </si>
  <si>
    <t>子ども以外</t>
    <rPh sb="0" eb="1">
      <t>コ</t>
    </rPh>
    <rPh sb="3" eb="5">
      <t>イガイ</t>
    </rPh>
    <phoneticPr fontId="2"/>
  </si>
  <si>
    <t>子ども以外人数</t>
    <rPh sb="0" eb="1">
      <t>コ</t>
    </rPh>
    <rPh sb="3" eb="5">
      <t>イガイ</t>
    </rPh>
    <rPh sb="5" eb="7">
      <t>ニンズウ</t>
    </rPh>
    <phoneticPr fontId="2"/>
  </si>
  <si>
    <t>子ども支援金分</t>
    <rPh sb="0" eb="1">
      <t>コ</t>
    </rPh>
    <rPh sb="3" eb="6">
      <t>シエンキン</t>
    </rPh>
    <rPh sb="6" eb="7">
      <t>ブン</t>
    </rPh>
    <phoneticPr fontId="2"/>
  </si>
  <si>
    <r>
      <t xml:space="preserve">　 </t>
    </r>
    <r>
      <rPr>
        <sz val="11"/>
        <color rgb="FFFF0000"/>
        <rFont val="ＭＳ Ｐゴシック"/>
        <family val="3"/>
        <charset val="128"/>
        <scheme val="minor"/>
      </rPr>
      <t>令和７年１月１日から令和７年１２月３１日まで</t>
    </r>
    <r>
      <rPr>
        <sz val="11"/>
        <color theme="1"/>
        <rFont val="ＭＳ Ｐゴシック"/>
        <family val="2"/>
        <scheme val="minor"/>
      </rPr>
      <t>の１年間の金額</t>
    </r>
    <rPh sb="2" eb="4">
      <t>レイワ</t>
    </rPh>
    <rPh sb="5" eb="6">
      <t>ネン</t>
    </rPh>
    <rPh sb="6" eb="7">
      <t>ヘイネン</t>
    </rPh>
    <rPh sb="7" eb="8">
      <t>ガツ</t>
    </rPh>
    <rPh sb="9" eb="10">
      <t>ニチ</t>
    </rPh>
    <rPh sb="12" eb="14">
      <t>レイワ</t>
    </rPh>
    <rPh sb="15" eb="16">
      <t>ネン</t>
    </rPh>
    <rPh sb="18" eb="19">
      <t>ガツ</t>
    </rPh>
    <rPh sb="21" eb="22">
      <t>ニチ</t>
    </rPh>
    <rPh sb="26" eb="28">
      <t>ネンカン</t>
    </rPh>
    <rPh sb="29" eb="31">
      <t>キンガク</t>
    </rPh>
    <phoneticPr fontId="2"/>
  </si>
  <si>
    <t>18歳以上均等割</t>
    <rPh sb="2" eb="5">
      <t>サイイジョウ</t>
    </rPh>
    <rPh sb="5" eb="8">
      <t>キントウワ</t>
    </rPh>
    <phoneticPr fontId="2"/>
  </si>
  <si>
    <t>≪試算結果についてのお問い合わせ≫　沼田市役所　市民課国保係　　電話　0278-23-2111　（内線3135）</t>
    <rPh sb="1" eb="3">
      <t>シサン</t>
    </rPh>
    <rPh sb="3" eb="5">
      <t>ケッカ</t>
    </rPh>
    <rPh sb="11" eb="12">
      <t>ト</t>
    </rPh>
    <rPh sb="13" eb="14">
      <t>ア</t>
    </rPh>
    <rPh sb="18" eb="20">
      <t>ヌマタ</t>
    </rPh>
    <rPh sb="20" eb="23">
      <t>シヤクショ</t>
    </rPh>
    <rPh sb="24" eb="26">
      <t>シミン</t>
    </rPh>
    <rPh sb="26" eb="27">
      <t>カ</t>
    </rPh>
    <rPh sb="27" eb="29">
      <t>コクホ</t>
    </rPh>
    <rPh sb="29" eb="30">
      <t>ガカリ</t>
    </rPh>
    <rPh sb="32" eb="34">
      <t>デンワ</t>
    </rPh>
    <rPh sb="49" eb="51">
      <t>ナイセン</t>
    </rPh>
    <phoneticPr fontId="2"/>
  </si>
  <si>
    <t>　・65歳未満で公的年金等収入が60万円超の人</t>
    <rPh sb="4" eb="5">
      <t>サイ</t>
    </rPh>
    <rPh sb="5" eb="7">
      <t>ミマン</t>
    </rPh>
    <rPh sb="8" eb="13">
      <t>コウテキネンキントウ</t>
    </rPh>
    <rPh sb="13" eb="15">
      <t>シュウニュウ</t>
    </rPh>
    <rPh sb="18" eb="21">
      <t>マンエンチョウ</t>
    </rPh>
    <rPh sb="22" eb="23">
      <t>ヒト</t>
    </rPh>
    <phoneticPr fontId="2"/>
  </si>
  <si>
    <t>　・65歳以上で公的年金等収入額が110万円超の人</t>
    <rPh sb="4" eb="7">
      <t>サイイジョウ</t>
    </rPh>
    <rPh sb="8" eb="16">
      <t>コウテキネンキントウシュウニュウガク</t>
    </rPh>
    <rPh sb="20" eb="23">
      <t>マンエンチョウ</t>
    </rPh>
    <rPh sb="24" eb="25">
      <t>ヒト</t>
    </rPh>
    <phoneticPr fontId="2"/>
  </si>
  <si>
    <t>◆給与所得者等の数は、次のいずれかの条件を満たす人の数です。一人も該当しない場合は1人として計算します。</t>
    <rPh sb="1" eb="3">
      <t>キュウヨ</t>
    </rPh>
    <rPh sb="3" eb="6">
      <t>ショトクシャ</t>
    </rPh>
    <rPh sb="6" eb="7">
      <t>トウ</t>
    </rPh>
    <rPh sb="8" eb="9">
      <t>スウ</t>
    </rPh>
    <rPh sb="11" eb="12">
      <t>ツギ</t>
    </rPh>
    <rPh sb="18" eb="20">
      <t>ジョウケン</t>
    </rPh>
    <rPh sb="21" eb="22">
      <t>ミ</t>
    </rPh>
    <rPh sb="24" eb="25">
      <t>ヒト</t>
    </rPh>
    <rPh sb="26" eb="27">
      <t>カズ</t>
    </rPh>
    <rPh sb="30" eb="32">
      <t>ヒトリ</t>
    </rPh>
    <rPh sb="33" eb="35">
      <t>ガイトウ</t>
    </rPh>
    <rPh sb="38" eb="40">
      <t>バアイ</t>
    </rPh>
    <rPh sb="42" eb="43">
      <t>ヒト</t>
    </rPh>
    <rPh sb="46" eb="48">
      <t>ケイサン</t>
    </rPh>
    <phoneticPr fontId="2"/>
  </si>
  <si>
    <t>未就学児以外</t>
    <rPh sb="0" eb="4">
      <t>ミシュウガクジ</t>
    </rPh>
    <rPh sb="4" eb="6">
      <t>イガイ</t>
    </rPh>
    <phoneticPr fontId="2"/>
  </si>
  <si>
    <t>未就学児以外人数</t>
    <rPh sb="0" eb="4">
      <t>ミシュウガクジ</t>
    </rPh>
    <rPh sb="4" eb="6">
      <t>イガイ</t>
    </rPh>
    <rPh sb="6" eb="8">
      <t>ニンズウ</t>
    </rPh>
    <phoneticPr fontId="2"/>
  </si>
  <si>
    <t>均等割未就学児軽減額</t>
    <rPh sb="0" eb="3">
      <t>キントウワ</t>
    </rPh>
    <rPh sb="3" eb="7">
      <t>ミシュウガクジ</t>
    </rPh>
    <rPh sb="7" eb="10">
      <t>ケイゲンガク</t>
    </rPh>
    <phoneticPr fontId="2"/>
  </si>
  <si>
    <t>沼田市役所　市民課国保係　電話 0278-23-2111 （内線3135）</t>
    <rPh sb="0" eb="2">
      <t>ヌマタ</t>
    </rPh>
    <rPh sb="2" eb="5">
      <t>シヤクショ</t>
    </rPh>
    <rPh sb="6" eb="8">
      <t>シミン</t>
    </rPh>
    <rPh sb="8" eb="9">
      <t>カ</t>
    </rPh>
    <rPh sb="9" eb="11">
      <t>コクホ</t>
    </rPh>
    <rPh sb="11" eb="12">
      <t>ガカリ</t>
    </rPh>
    <rPh sb="13" eb="15">
      <t>デンワ</t>
    </rPh>
    <rPh sb="30" eb="32">
      <t>ナイセン</t>
    </rPh>
    <phoneticPr fontId="2"/>
  </si>
  <si>
    <t>未就学児軽減</t>
    <rPh sb="0" eb="4">
      <t>ミシュウガクジ</t>
    </rPh>
    <rPh sb="4" eb="6">
      <t>ケイゲン</t>
    </rPh>
    <phoneticPr fontId="2"/>
  </si>
  <si>
    <t>高卒世代以上の加入者</t>
    <rPh sb="0" eb="2">
      <t>コウソツ</t>
    </rPh>
    <rPh sb="2" eb="4">
      <t>セダイ</t>
    </rPh>
    <rPh sb="4" eb="6">
      <t>イジョウ</t>
    </rPh>
    <rPh sb="7" eb="10">
      <t>カニュウシャ</t>
    </rPh>
    <phoneticPr fontId="2"/>
  </si>
  <si>
    <t>⑥－⑦－⑧</t>
    <phoneticPr fontId="2"/>
  </si>
  <si>
    <t>⑨</t>
  </si>
  <si>
    <t>⑩</t>
  </si>
  <si>
    <t>⑪</t>
  </si>
  <si>
    <t>⑫</t>
  </si>
  <si>
    <t>⑬</t>
  </si>
  <si>
    <t>⑭</t>
  </si>
  <si>
    <t>⑮</t>
  </si>
  <si>
    <t>⑯</t>
  </si>
  <si>
    <t>⑰</t>
  </si>
  <si>
    <t>⑱</t>
  </si>
  <si>
    <t>⑲</t>
  </si>
  <si>
    <t>⑳</t>
    <phoneticPr fontId="2"/>
  </si>
  <si>
    <t>⑫－⑬</t>
    <phoneticPr fontId="2"/>
  </si>
  <si>
    <t>⑩×⑪</t>
    <phoneticPr fontId="2"/>
  </si>
  <si>
    <t>⑫×軽減割合</t>
    <rPh sb="2" eb="4">
      <t>ケイゲン</t>
    </rPh>
    <rPh sb="4" eb="6">
      <t>ワリアイ</t>
    </rPh>
    <phoneticPr fontId="2"/>
  </si>
  <si>
    <t>⑮×軽減割合</t>
    <rPh sb="2" eb="4">
      <t>ケイゲン</t>
    </rPh>
    <rPh sb="4" eb="6">
      <t>ワリアイ</t>
    </rPh>
    <phoneticPr fontId="2"/>
  </si>
  <si>
    <t>⑯－⑮</t>
    <phoneticPr fontId="2"/>
  </si>
  <si>
    <t>③＋⑨＋⑭＋⑰</t>
    <phoneticPr fontId="2"/>
  </si>
  <si>
    <t>　・給与収入が55万円超の人（専従者給与を除く）</t>
    <rPh sb="2" eb="4">
      <t>キュウヨ</t>
    </rPh>
    <rPh sb="4" eb="6">
      <t>シュウニュウ</t>
    </rPh>
    <rPh sb="9" eb="12">
      <t>マンエンチョウ</t>
    </rPh>
    <rPh sb="13" eb="14">
      <t>ヒト</t>
    </rPh>
    <rPh sb="15" eb="20">
      <t>センジュウシャキュウヨ</t>
    </rPh>
    <rPh sb="21" eb="22">
      <t>ノゾ</t>
    </rPh>
    <phoneticPr fontId="2"/>
  </si>
  <si>
    <t>◆⑱の算出額計が⑲の課税限度額を超える場合は、課税額が⑲の金額になります。</t>
    <phoneticPr fontId="2"/>
  </si>
  <si>
    <r>
      <t>◆⑦・⑬・⑯の軽減割合は、</t>
    </r>
    <r>
      <rPr>
        <b/>
        <sz val="10"/>
        <color theme="1"/>
        <rFont val="ＭＳ Ｐゴシック"/>
        <family val="3"/>
        <charset val="128"/>
        <scheme val="minor"/>
      </rPr>
      <t>世帯主および国保加入者の所得額</t>
    </r>
    <r>
      <rPr>
        <sz val="10"/>
        <color theme="1"/>
        <rFont val="ＭＳ Ｐゴシック"/>
        <family val="3"/>
        <charset val="128"/>
        <scheme val="minor"/>
      </rPr>
      <t>が基準額以下となる場合に適用となります。</t>
    </r>
    <rPh sb="7" eb="9">
      <t>ケイゲン</t>
    </rPh>
    <rPh sb="9" eb="11">
      <t>ワリアイ</t>
    </rPh>
    <rPh sb="13" eb="16">
      <t>セタイヌシ</t>
    </rPh>
    <rPh sb="19" eb="21">
      <t>コクホ</t>
    </rPh>
    <rPh sb="21" eb="24">
      <t>カニュウシャ</t>
    </rPh>
    <rPh sb="25" eb="27">
      <t>ショトク</t>
    </rPh>
    <rPh sb="27" eb="28">
      <t>ガク</t>
    </rPh>
    <rPh sb="29" eb="32">
      <t>キジュンガク</t>
    </rPh>
    <rPh sb="32" eb="34">
      <t>イカ</t>
    </rPh>
    <rPh sb="37" eb="39">
      <t>バアイ</t>
    </rPh>
    <rPh sb="40" eb="42">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</si>
</sst>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円&quot;"/>
    <numFmt numFmtId="178" formatCode="#,##0&quot;人&quot;"/>
  </numFmts>
  <fonts count="33">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rgb="FFFF0000"/>
      <name val="ＭＳ Ｐゴシック"/>
      <family val="2"/>
      <scheme val="minor"/>
    </font>
    <font>
      <b/>
      <sz val="11"/>
      <color theme="1"/>
      <name val="ＭＳ Ｐゴシック"/>
      <family val="3"/>
      <charset val="128"/>
      <scheme val="minor"/>
    </font>
    <font>
      <b/>
      <sz val="10"/>
      <color rgb="FFFF0000"/>
      <name val="ＭＳ Ｐゴシック"/>
      <family val="3"/>
      <charset val="128"/>
      <scheme val="minor"/>
    </font>
    <font>
      <sz val="10"/>
      <color theme="1"/>
      <name val="ＭＳ Ｐゴシック"/>
      <family val="3"/>
      <charset val="128"/>
      <scheme val="minor"/>
    </font>
    <font>
      <sz val="12"/>
      <color theme="1"/>
      <name val="ＭＳ Ｐゴシック"/>
      <family val="2"/>
      <scheme val="minor"/>
    </font>
    <font>
      <sz val="14"/>
      <color theme="1"/>
      <name val="ＭＳ Ｐゴシック"/>
      <family val="2"/>
      <scheme val="minor"/>
    </font>
    <font>
      <sz val="12"/>
      <color theme="1"/>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b/>
      <sz val="10"/>
      <color theme="1"/>
      <name val="ＭＳ Ｐゴシック"/>
      <family val="3"/>
      <charset val="128"/>
      <scheme val="minor"/>
    </font>
    <font>
      <sz val="10"/>
      <color rgb="FF0070C0"/>
      <name val="ＭＳ Ｐゴシック"/>
      <family val="2"/>
      <scheme val="minor"/>
    </font>
    <font>
      <sz val="10"/>
      <color rgb="FF0070C0"/>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0"/>
      <name val="ＭＳ Ｐゴシック"/>
      <family val="2"/>
      <scheme val="minor"/>
    </font>
    <font>
      <sz val="10"/>
      <name val="ＭＳ Ｐゴシック"/>
      <family val="3"/>
      <charset val="128"/>
      <scheme val="minor"/>
    </font>
    <font>
      <sz val="10"/>
      <color theme="1"/>
      <name val="ＭＳ Ｐゴシック"/>
      <family val="2"/>
      <scheme val="minor"/>
    </font>
    <font>
      <b/>
      <sz val="9"/>
      <color theme="1"/>
      <name val="ＭＳ Ｐゴシック"/>
      <family val="3"/>
      <charset val="128"/>
      <scheme val="minor"/>
    </font>
    <font>
      <b/>
      <sz val="14"/>
      <name val="ＭＳ Ｐゴシック"/>
      <family val="3"/>
      <charset val="128"/>
      <scheme val="minor"/>
    </font>
    <font>
      <b/>
      <sz val="9"/>
      <color indexed="81"/>
      <name val="MS P ゴシック"/>
      <family val="3"/>
      <charset val="128"/>
    </font>
    <font>
      <sz val="11"/>
      <color rgb="FF0070C0"/>
      <name val="ＭＳ Ｐゴシック"/>
      <family val="2"/>
      <scheme val="minor"/>
    </font>
    <font>
      <sz val="11"/>
      <color rgb="FF0070C0"/>
      <name val="ＭＳ Ｐゴシック"/>
      <family val="3"/>
      <charset val="128"/>
      <scheme val="minor"/>
    </font>
    <font>
      <sz val="8"/>
      <color theme="1"/>
      <name val="ＭＳ Ｐゴシック"/>
      <family val="3"/>
      <charset val="128"/>
      <scheme val="minor"/>
    </font>
  </fonts>
  <fills count="1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ouble">
        <color indexed="64"/>
      </left>
      <right style="double">
        <color indexed="64"/>
      </right>
      <top style="double">
        <color indexed="64"/>
      </top>
      <bottom style="double">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1">
    <xf numFmtId="0" fontId="0" fillId="0" borderId="0" xfId="0"/>
    <xf numFmtId="0" fontId="0" fillId="0" borderId="1" xfId="0" applyBorder="1"/>
    <xf numFmtId="38" fontId="0" fillId="0" borderId="1" xfId="1" applyFont="1" applyBorder="1" applyAlignment="1"/>
    <xf numFmtId="0" fontId="3" fillId="0" borderId="1" xfId="0" applyFont="1" applyBorder="1"/>
    <xf numFmtId="38" fontId="3" fillId="0" borderId="1" xfId="1" applyFont="1" applyBorder="1" applyAlignment="1"/>
    <xf numFmtId="38" fontId="0" fillId="0" borderId="1" xfId="0" applyNumberFormat="1" applyBorder="1"/>
    <xf numFmtId="0" fontId="4" fillId="0" borderId="0" xfId="0" applyFont="1"/>
    <xf numFmtId="0" fontId="4" fillId="0" borderId="0" xfId="0" applyFont="1" applyAlignment="1">
      <alignment horizontal="left"/>
    </xf>
    <xf numFmtId="0" fontId="3" fillId="0" borderId="0" xfId="0" applyFont="1"/>
    <xf numFmtId="0" fontId="0" fillId="0" borderId="1" xfId="0" applyFill="1" applyBorder="1"/>
    <xf numFmtId="38" fontId="0" fillId="0" borderId="8" xfId="1" applyFont="1" applyBorder="1" applyAlignment="1"/>
    <xf numFmtId="38" fontId="0" fillId="0" borderId="2" xfId="0" applyNumberFormat="1" applyBorder="1"/>
    <xf numFmtId="38" fontId="0" fillId="0" borderId="3" xfId="1" applyFont="1" applyBorder="1" applyAlignment="1"/>
    <xf numFmtId="38" fontId="0" fillId="0" borderId="4" xfId="1" applyFont="1" applyBorder="1" applyAlignment="1"/>
    <xf numFmtId="0" fontId="0" fillId="0" borderId="0" xfId="0"/>
    <xf numFmtId="0" fontId="0" fillId="0" borderId="1" xfId="0" applyBorder="1"/>
    <xf numFmtId="0" fontId="0" fillId="0" borderId="10" xfId="0" applyBorder="1" applyAlignment="1"/>
    <xf numFmtId="0" fontId="0" fillId="0" borderId="11" xfId="0" applyBorder="1" applyAlignment="1"/>
    <xf numFmtId="0" fontId="0" fillId="0" borderId="13" xfId="0" applyBorder="1" applyAlignment="1"/>
    <xf numFmtId="0" fontId="0" fillId="0" borderId="2" xfId="0" applyBorder="1" applyAlignment="1"/>
    <xf numFmtId="0" fontId="0" fillId="0" borderId="4" xfId="0" applyBorder="1"/>
    <xf numFmtId="0" fontId="0" fillId="0" borderId="4" xfId="0" applyBorder="1" applyAlignment="1"/>
    <xf numFmtId="38" fontId="0" fillId="2" borderId="1" xfId="1" applyFont="1" applyFill="1" applyBorder="1" applyAlignment="1"/>
    <xf numFmtId="176" fontId="0" fillId="2" borderId="14" xfId="0" applyNumberFormat="1" applyFill="1" applyBorder="1" applyAlignment="1"/>
    <xf numFmtId="176" fontId="0" fillId="2" borderId="7" xfId="0" applyNumberFormat="1" applyFill="1" applyBorder="1" applyAlignment="1"/>
    <xf numFmtId="38" fontId="0" fillId="2" borderId="7" xfId="1" applyFont="1" applyFill="1" applyBorder="1" applyAlignment="1"/>
    <xf numFmtId="38" fontId="0" fillId="2" borderId="12" xfId="1" applyFont="1" applyFill="1" applyBorder="1" applyAlignment="1"/>
    <xf numFmtId="0" fontId="0" fillId="2" borderId="1" xfId="0" applyFill="1" applyBorder="1"/>
    <xf numFmtId="38" fontId="4" fillId="0" borderId="1" xfId="0" applyNumberFormat="1" applyFont="1" applyBorder="1"/>
    <xf numFmtId="0" fontId="0" fillId="0" borderId="25" xfId="0" applyBorder="1"/>
    <xf numFmtId="0" fontId="0" fillId="2" borderId="25" xfId="0" applyFill="1" applyBorder="1"/>
    <xf numFmtId="0" fontId="0" fillId="0" borderId="24" xfId="0" applyBorder="1"/>
    <xf numFmtId="0" fontId="0" fillId="2" borderId="24" xfId="0" applyFill="1" applyBorder="1"/>
    <xf numFmtId="38" fontId="0" fillId="2" borderId="24" xfId="1" applyFont="1" applyFill="1" applyBorder="1" applyAlignment="1"/>
    <xf numFmtId="0" fontId="0" fillId="0" borderId="29" xfId="0" applyBorder="1"/>
    <xf numFmtId="0" fontId="0" fillId="0" borderId="30" xfId="0" applyBorder="1"/>
    <xf numFmtId="0" fontId="0" fillId="0" borderId="31" xfId="0" applyBorder="1"/>
    <xf numFmtId="0" fontId="0" fillId="0" borderId="0" xfId="0" applyAlignment="1" applyProtection="1">
      <alignment vertical="center"/>
      <protection hidden="1"/>
    </xf>
    <xf numFmtId="0" fontId="4" fillId="0" borderId="0" xfId="0" applyFont="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0" fillId="3" borderId="0" xfId="0" applyFill="1" applyAlignment="1" applyProtection="1">
      <alignment vertical="center"/>
      <protection hidden="1"/>
    </xf>
    <xf numFmtId="0" fontId="5" fillId="3" borderId="0" xfId="0" applyFont="1" applyFill="1" applyAlignment="1" applyProtection="1">
      <alignment vertical="center"/>
      <protection hidden="1"/>
    </xf>
    <xf numFmtId="0" fontId="6" fillId="3" borderId="0" xfId="0" applyFont="1" applyFill="1" applyAlignment="1" applyProtection="1">
      <alignment vertical="center"/>
      <protection hidden="1"/>
    </xf>
    <xf numFmtId="0" fontId="4" fillId="5" borderId="17" xfId="0" applyFont="1" applyFill="1" applyBorder="1" applyAlignment="1" applyProtection="1">
      <alignment vertical="center"/>
      <protection hidden="1"/>
    </xf>
    <xf numFmtId="0" fontId="7" fillId="5" borderId="1" xfId="0" applyFont="1" applyFill="1" applyBorder="1" applyAlignment="1" applyProtection="1">
      <alignment vertical="center"/>
      <protection locked="0"/>
    </xf>
    <xf numFmtId="0" fontId="4" fillId="4" borderId="35" xfId="0" applyFont="1" applyFill="1" applyBorder="1" applyAlignment="1" applyProtection="1">
      <alignment horizontal="left" vertical="center"/>
      <protection hidden="1"/>
    </xf>
    <xf numFmtId="0" fontId="4" fillId="4" borderId="36" xfId="0" applyFont="1" applyFill="1" applyBorder="1" applyAlignment="1" applyProtection="1">
      <alignment horizontal="center" vertical="center"/>
      <protection hidden="1"/>
    </xf>
    <xf numFmtId="0" fontId="0" fillId="4" borderId="36" xfId="0" applyFill="1" applyBorder="1" applyAlignment="1" applyProtection="1">
      <alignment vertical="center"/>
      <protection hidden="1"/>
    </xf>
    <xf numFmtId="0" fontId="0" fillId="4" borderId="37" xfId="0" applyFill="1" applyBorder="1" applyAlignment="1" applyProtection="1">
      <alignment vertical="center"/>
      <protection hidden="1"/>
    </xf>
    <xf numFmtId="0" fontId="0" fillId="4" borderId="39" xfId="0" applyFill="1" applyBorder="1" applyAlignment="1" applyProtection="1">
      <alignment vertical="center"/>
      <protection hidden="1"/>
    </xf>
    <xf numFmtId="0" fontId="4" fillId="4" borderId="43" xfId="0" applyFont="1" applyFill="1" applyBorder="1" applyAlignment="1" applyProtection="1">
      <alignment horizontal="left" vertical="center"/>
      <protection hidden="1"/>
    </xf>
    <xf numFmtId="0" fontId="4" fillId="4" borderId="44" xfId="0" applyFont="1" applyFill="1" applyBorder="1" applyAlignment="1" applyProtection="1">
      <alignment horizontal="center" vertical="center"/>
      <protection hidden="1"/>
    </xf>
    <xf numFmtId="0" fontId="0" fillId="4" borderId="44" xfId="0" applyFill="1" applyBorder="1" applyAlignment="1" applyProtection="1">
      <alignment vertical="center"/>
      <protection hidden="1"/>
    </xf>
    <xf numFmtId="0" fontId="0" fillId="4" borderId="45" xfId="0" applyFill="1" applyBorder="1" applyAlignment="1" applyProtection="1">
      <alignment vertical="center"/>
      <protection hidden="1"/>
    </xf>
    <xf numFmtId="0" fontId="0" fillId="4" borderId="46" xfId="0" applyFill="1" applyBorder="1" applyAlignment="1" applyProtection="1">
      <alignment vertical="center"/>
      <protection hidden="1"/>
    </xf>
    <xf numFmtId="0" fontId="4" fillId="4" borderId="0" xfId="0" applyFont="1" applyFill="1" applyBorder="1" applyAlignment="1" applyProtection="1">
      <alignment vertical="top" wrapText="1"/>
      <protection hidden="1"/>
    </xf>
    <xf numFmtId="0" fontId="0" fillId="4" borderId="47" xfId="0" applyFill="1" applyBorder="1" applyAlignment="1" applyProtection="1">
      <alignment vertical="center"/>
      <protection hidden="1"/>
    </xf>
    <xf numFmtId="0" fontId="0" fillId="4" borderId="0" xfId="0" applyFill="1" applyBorder="1" applyAlignment="1" applyProtection="1">
      <alignment vertical="center" wrapText="1"/>
      <protection hidden="1"/>
    </xf>
    <xf numFmtId="0" fontId="0" fillId="4" borderId="46" xfId="0" applyFill="1" applyBorder="1" applyAlignment="1" applyProtection="1">
      <alignment horizontal="left" vertical="center"/>
      <protection hidden="1"/>
    </xf>
    <xf numFmtId="0" fontId="0" fillId="4" borderId="46" xfId="0" applyFill="1" applyBorder="1" applyAlignment="1" applyProtection="1">
      <alignment vertical="center" wrapText="1"/>
      <protection hidden="1"/>
    </xf>
    <xf numFmtId="0" fontId="0" fillId="4" borderId="48" xfId="0" applyFill="1" applyBorder="1" applyAlignment="1" applyProtection="1">
      <alignment vertical="center"/>
      <protection hidden="1"/>
    </xf>
    <xf numFmtId="0" fontId="0" fillId="4" borderId="49" xfId="0" applyFill="1" applyBorder="1" applyAlignment="1" applyProtection="1">
      <alignment vertical="center"/>
      <protection hidden="1"/>
    </xf>
    <xf numFmtId="0" fontId="0" fillId="4" borderId="50" xfId="0" applyFill="1" applyBorder="1" applyAlignment="1" applyProtection="1">
      <alignment vertical="center"/>
      <protection hidden="1"/>
    </xf>
    <xf numFmtId="0" fontId="0" fillId="3" borderId="0" xfId="0" applyFill="1" applyProtection="1"/>
    <xf numFmtId="0" fontId="0" fillId="0" borderId="0" xfId="0" applyProtection="1"/>
    <xf numFmtId="0" fontId="0" fillId="0" borderId="0" xfId="0" applyAlignment="1">
      <alignment horizontal="right"/>
    </xf>
    <xf numFmtId="0" fontId="0" fillId="6" borderId="1" xfId="0" applyFill="1" applyBorder="1"/>
    <xf numFmtId="0" fontId="0" fillId="6" borderId="0" xfId="0" applyFill="1"/>
    <xf numFmtId="0" fontId="3" fillId="6" borderId="1" xfId="0" applyFont="1" applyFill="1" applyBorder="1"/>
    <xf numFmtId="38" fontId="3" fillId="6" borderId="1" xfId="1" applyFont="1" applyFill="1" applyBorder="1" applyAlignment="1"/>
    <xf numFmtId="0" fontId="0" fillId="6" borderId="51" xfId="0" applyFill="1" applyBorder="1"/>
    <xf numFmtId="0" fontId="0" fillId="0" borderId="17" xfId="0" applyBorder="1"/>
    <xf numFmtId="0" fontId="0" fillId="3" borderId="0" xfId="0" applyFill="1" applyProtection="1">
      <protection hidden="1"/>
    </xf>
    <xf numFmtId="0" fontId="0" fillId="0" borderId="0" xfId="0" applyProtection="1">
      <protection hidden="1"/>
    </xf>
    <xf numFmtId="38" fontId="7" fillId="5" borderId="1" xfId="1" applyFont="1" applyFill="1" applyBorder="1" applyAlignment="1" applyProtection="1">
      <alignment vertical="center" shrinkToFit="1"/>
      <protection locked="0"/>
    </xf>
    <xf numFmtId="0" fontId="0" fillId="0" borderId="51" xfId="0" applyBorder="1"/>
    <xf numFmtId="38" fontId="0" fillId="0" borderId="0" xfId="0" applyNumberFormat="1" applyBorder="1"/>
    <xf numFmtId="38" fontId="0" fillId="0" borderId="0" xfId="1" applyFont="1" applyBorder="1" applyAlignment="1"/>
    <xf numFmtId="0" fontId="3" fillId="0" borderId="17" xfId="0" applyFont="1" applyBorder="1" applyAlignment="1">
      <alignment horizontal="center"/>
    </xf>
    <xf numFmtId="0" fontId="0" fillId="3" borderId="0" xfId="0" applyFill="1" applyAlignment="1" applyProtection="1">
      <alignment horizontal="center" vertical="center"/>
      <protection hidden="1"/>
    </xf>
    <xf numFmtId="0" fontId="0" fillId="6" borderId="0" xfId="0" applyFill="1" applyAlignment="1" applyProtection="1">
      <alignment vertical="center"/>
      <protection hidden="1"/>
    </xf>
    <xf numFmtId="0" fontId="0" fillId="6" borderId="0" xfId="0" applyFill="1" applyAlignment="1" applyProtection="1">
      <alignment horizontal="center" vertical="center"/>
      <protection hidden="1"/>
    </xf>
    <xf numFmtId="0" fontId="4" fillId="6" borderId="0" xfId="0" applyFont="1" applyFill="1" applyAlignment="1" applyProtection="1">
      <alignment vertical="center"/>
      <protection hidden="1"/>
    </xf>
    <xf numFmtId="38" fontId="4" fillId="6" borderId="0" xfId="0" applyNumberFormat="1" applyFont="1" applyFill="1" applyBorder="1" applyAlignment="1" applyProtection="1">
      <alignment horizontal="center" vertical="center"/>
      <protection hidden="1"/>
    </xf>
    <xf numFmtId="0" fontId="0" fillId="8" borderId="53" xfId="0" applyFill="1" applyBorder="1" applyAlignment="1" applyProtection="1">
      <alignment horizontal="right"/>
      <protection hidden="1"/>
    </xf>
    <xf numFmtId="0" fontId="10" fillId="8" borderId="54" xfId="0" applyFont="1" applyFill="1" applyBorder="1" applyAlignment="1" applyProtection="1">
      <alignment horizontal="center"/>
      <protection hidden="1"/>
    </xf>
    <xf numFmtId="0" fontId="0" fillId="8" borderId="52" xfId="0" applyFill="1" applyBorder="1" applyAlignment="1" applyProtection="1">
      <protection hidden="1"/>
    </xf>
    <xf numFmtId="0" fontId="13" fillId="6" borderId="78" xfId="0" applyFont="1" applyFill="1" applyBorder="1" applyAlignment="1" applyProtection="1">
      <alignment horizontal="center" vertical="center"/>
      <protection hidden="1"/>
    </xf>
    <xf numFmtId="0" fontId="0" fillId="6" borderId="0" xfId="0" applyFill="1" applyAlignment="1" applyProtection="1">
      <alignment horizontal="right" vertical="center"/>
      <protection hidden="1"/>
    </xf>
    <xf numFmtId="0" fontId="0" fillId="6" borderId="66" xfId="0" applyFill="1" applyBorder="1" applyAlignment="1" applyProtection="1">
      <alignment vertical="center"/>
      <protection hidden="1"/>
    </xf>
    <xf numFmtId="0" fontId="0" fillId="6" borderId="66" xfId="0" applyFill="1" applyBorder="1" applyAlignment="1" applyProtection="1">
      <alignment horizontal="center" vertical="center"/>
      <protection hidden="1"/>
    </xf>
    <xf numFmtId="0" fontId="0" fillId="6" borderId="73" xfId="0" applyFill="1" applyBorder="1" applyAlignment="1" applyProtection="1">
      <alignment vertical="center"/>
      <protection hidden="1"/>
    </xf>
    <xf numFmtId="0" fontId="0" fillId="6" borderId="74" xfId="0" applyFill="1" applyBorder="1" applyAlignment="1" applyProtection="1">
      <alignment vertical="center"/>
      <protection hidden="1"/>
    </xf>
    <xf numFmtId="0" fontId="0" fillId="6" borderId="0" xfId="0" applyFill="1" applyBorder="1" applyAlignment="1" applyProtection="1">
      <alignment vertical="center"/>
      <protection hidden="1"/>
    </xf>
    <xf numFmtId="0" fontId="0" fillId="6" borderId="0" xfId="0" applyFill="1" applyBorder="1" applyAlignment="1" applyProtection="1">
      <alignment horizontal="center" vertical="center"/>
      <protection hidden="1"/>
    </xf>
    <xf numFmtId="0" fontId="0" fillId="6" borderId="75" xfId="0" applyFill="1" applyBorder="1" applyAlignment="1" applyProtection="1">
      <alignment vertical="center"/>
      <protection hidden="1"/>
    </xf>
    <xf numFmtId="0" fontId="0" fillId="6" borderId="1" xfId="0" applyFill="1" applyBorder="1" applyAlignment="1" applyProtection="1">
      <alignment horizontal="center" vertical="center"/>
      <protection hidden="1"/>
    </xf>
    <xf numFmtId="0" fontId="0" fillId="6" borderId="68" xfId="0" applyFill="1" applyBorder="1" applyAlignment="1" applyProtection="1">
      <alignment vertical="center"/>
      <protection hidden="1"/>
    </xf>
    <xf numFmtId="0" fontId="0" fillId="6" borderId="68" xfId="0" applyFill="1" applyBorder="1" applyAlignment="1" applyProtection="1">
      <alignment horizontal="center" vertical="center"/>
      <protection hidden="1"/>
    </xf>
    <xf numFmtId="0" fontId="0" fillId="6" borderId="77" xfId="0" applyFill="1" applyBorder="1" applyAlignment="1" applyProtection="1">
      <alignment vertical="center"/>
      <protection hidden="1"/>
    </xf>
    <xf numFmtId="0" fontId="0" fillId="5" borderId="53" xfId="0" applyFill="1" applyBorder="1" applyAlignment="1" applyProtection="1">
      <alignment horizontal="right"/>
      <protection hidden="1"/>
    </xf>
    <xf numFmtId="0" fontId="10" fillId="5" borderId="54" xfId="0" applyFont="1" applyFill="1" applyBorder="1" applyAlignment="1" applyProtection="1">
      <alignment horizontal="center"/>
      <protection hidden="1"/>
    </xf>
    <xf numFmtId="0" fontId="0" fillId="5" borderId="52" xfId="0" applyFill="1" applyBorder="1" applyAlignment="1" applyProtection="1">
      <protection hidden="1"/>
    </xf>
    <xf numFmtId="0" fontId="0" fillId="4" borderId="39" xfId="0" applyFill="1" applyBorder="1" applyAlignment="1" applyProtection="1">
      <alignment vertical="center"/>
      <protection hidden="1"/>
    </xf>
    <xf numFmtId="0" fontId="11" fillId="2" borderId="18" xfId="0" applyFont="1" applyFill="1" applyBorder="1" applyAlignment="1" applyProtection="1">
      <alignment vertical="center"/>
      <protection hidden="1"/>
    </xf>
    <xf numFmtId="0" fontId="4" fillId="2" borderId="19" xfId="0" applyFont="1" applyFill="1" applyBorder="1" applyAlignment="1" applyProtection="1">
      <alignment horizontal="center" vertical="center"/>
      <protection hidden="1"/>
    </xf>
    <xf numFmtId="0" fontId="4" fillId="2" borderId="32" xfId="0" applyFont="1" applyFill="1" applyBorder="1" applyAlignment="1" applyProtection="1">
      <alignment horizontal="center" vertical="center"/>
      <protection hidden="1"/>
    </xf>
    <xf numFmtId="0" fontId="11" fillId="2" borderId="20" xfId="0" applyFont="1" applyFill="1" applyBorder="1" applyAlignment="1" applyProtection="1">
      <alignment vertical="center"/>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vertical="center"/>
      <protection hidden="1"/>
    </xf>
    <xf numFmtId="0" fontId="4" fillId="2" borderId="33" xfId="0" applyFont="1" applyFill="1" applyBorder="1" applyAlignment="1" applyProtection="1">
      <alignment horizontal="center" vertical="center"/>
      <protection hidden="1"/>
    </xf>
    <xf numFmtId="0" fontId="12" fillId="2" borderId="21" xfId="0" applyFont="1" applyFill="1" applyBorder="1" applyAlignment="1" applyProtection="1">
      <alignment vertical="center"/>
      <protection hidden="1"/>
    </xf>
    <xf numFmtId="0" fontId="0" fillId="2" borderId="22" xfId="0" applyFill="1" applyBorder="1" applyAlignment="1" applyProtection="1">
      <alignment vertical="center"/>
      <protection hidden="1"/>
    </xf>
    <xf numFmtId="0" fontId="0" fillId="2" borderId="34" xfId="0" applyFill="1" applyBorder="1" applyAlignment="1" applyProtection="1">
      <alignment vertical="center"/>
      <protection hidden="1"/>
    </xf>
    <xf numFmtId="14" fontId="27" fillId="0" borderId="66" xfId="0" applyNumberFormat="1" applyFont="1" applyBorder="1" applyAlignment="1" applyProtection="1">
      <alignment horizontal="right" vertical="center"/>
      <protection hidden="1"/>
    </xf>
    <xf numFmtId="0" fontId="0" fillId="6" borderId="0" xfId="0" applyFill="1" applyAlignment="1" applyProtection="1">
      <alignment vertical="top"/>
      <protection hidden="1"/>
    </xf>
    <xf numFmtId="0" fontId="14" fillId="6" borderId="0" xfId="0" applyFont="1" applyFill="1" applyAlignment="1" applyProtection="1">
      <alignment vertical="top" wrapText="1"/>
      <protection hidden="1"/>
    </xf>
    <xf numFmtId="0" fontId="0" fillId="6" borderId="1" xfId="0" applyFill="1" applyBorder="1" applyAlignment="1" applyProtection="1">
      <alignment vertical="center"/>
      <protection hidden="1"/>
    </xf>
    <xf numFmtId="0" fontId="24" fillId="6" borderId="0" xfId="0" applyFont="1" applyFill="1" applyAlignment="1" applyProtection="1">
      <alignment vertical="center"/>
      <protection hidden="1"/>
    </xf>
    <xf numFmtId="0" fontId="0" fillId="6" borderId="1" xfId="0" applyFill="1" applyBorder="1" applyAlignment="1" applyProtection="1">
      <alignment horizontal="right" vertical="center"/>
      <protection hidden="1"/>
    </xf>
    <xf numFmtId="38" fontId="0" fillId="6" borderId="1" xfId="1" applyFont="1" applyFill="1" applyBorder="1" applyAlignment="1" applyProtection="1">
      <alignment vertical="center"/>
      <protection hidden="1"/>
    </xf>
    <xf numFmtId="0" fontId="25" fillId="6" borderId="0" xfId="0" applyFont="1" applyFill="1" applyAlignment="1" applyProtection="1">
      <alignment vertical="center"/>
      <protection hidden="1"/>
    </xf>
    <xf numFmtId="0" fontId="26" fillId="6" borderId="0" xfId="0" applyFont="1" applyFill="1" applyAlignment="1" applyProtection="1">
      <alignment vertical="center"/>
      <protection hidden="1"/>
    </xf>
    <xf numFmtId="0" fontId="6" fillId="6" borderId="0" xfId="0" applyFont="1" applyFill="1" applyAlignment="1" applyProtection="1">
      <alignment vertical="center"/>
      <protection hidden="1"/>
    </xf>
    <xf numFmtId="38" fontId="0" fillId="6" borderId="1" xfId="0" applyNumberFormat="1" applyFill="1" applyBorder="1" applyAlignment="1" applyProtection="1">
      <alignment vertical="center"/>
      <protection hidden="1"/>
    </xf>
    <xf numFmtId="0" fontId="16" fillId="6" borderId="0" xfId="0" applyFont="1" applyFill="1" applyAlignment="1" applyProtection="1">
      <alignment vertical="center"/>
      <protection hidden="1"/>
    </xf>
    <xf numFmtId="0" fontId="19" fillId="6" borderId="1" xfId="0" applyFont="1" applyFill="1" applyBorder="1" applyAlignment="1" applyProtection="1">
      <alignment vertical="center"/>
      <protection hidden="1"/>
    </xf>
    <xf numFmtId="0" fontId="0" fillId="6" borderId="0" xfId="0" applyFill="1" applyAlignment="1" applyProtection="1">
      <alignment horizontal="left" vertical="center"/>
      <protection hidden="1"/>
    </xf>
    <xf numFmtId="0" fontId="5" fillId="6" borderId="15" xfId="0" applyFont="1" applyFill="1" applyBorder="1" applyAlignment="1" applyProtection="1">
      <alignment vertical="center"/>
      <protection hidden="1"/>
    </xf>
    <xf numFmtId="0" fontId="5" fillId="6" borderId="0" xfId="0" applyFont="1" applyFill="1" applyAlignment="1" applyProtection="1">
      <alignment vertical="center"/>
      <protection hidden="1"/>
    </xf>
    <xf numFmtId="0" fontId="6" fillId="6" borderId="15" xfId="0" applyFont="1" applyFill="1" applyBorder="1" applyAlignment="1" applyProtection="1">
      <alignment vertical="center"/>
      <protection hidden="1"/>
    </xf>
    <xf numFmtId="0" fontId="0" fillId="6" borderId="0" xfId="0" applyFont="1" applyFill="1" applyBorder="1" applyAlignment="1" applyProtection="1">
      <alignment vertical="center"/>
      <protection hidden="1"/>
    </xf>
    <xf numFmtId="0" fontId="0" fillId="6" borderId="0" xfId="0" applyFont="1" applyFill="1" applyAlignment="1" applyProtection="1">
      <alignment vertical="center"/>
      <protection hidden="1"/>
    </xf>
    <xf numFmtId="0" fontId="4" fillId="6" borderId="0" xfId="0" applyFont="1" applyFill="1" applyBorder="1" applyAlignment="1" applyProtection="1">
      <alignment horizontal="center" vertical="center"/>
      <protection hidden="1"/>
    </xf>
    <xf numFmtId="14" fontId="27" fillId="6" borderId="66" xfId="0" applyNumberFormat="1" applyFont="1" applyFill="1" applyBorder="1" applyAlignment="1" applyProtection="1">
      <alignment horizontal="center" vertical="center"/>
      <protection hidden="1"/>
    </xf>
    <xf numFmtId="0" fontId="0" fillId="4" borderId="0" xfId="0" applyFill="1" applyBorder="1" applyAlignment="1" applyProtection="1">
      <alignment vertical="center"/>
      <protection hidden="1"/>
    </xf>
    <xf numFmtId="38" fontId="0" fillId="6" borderId="0" xfId="1" applyFont="1" applyFill="1" applyBorder="1" applyAlignment="1" applyProtection="1">
      <alignment vertical="center"/>
      <protection hidden="1"/>
    </xf>
    <xf numFmtId="38" fontId="0" fillId="6" borderId="0" xfId="0" applyNumberFormat="1" applyFill="1" applyBorder="1" applyAlignment="1" applyProtection="1">
      <alignment vertical="center"/>
      <protection hidden="1"/>
    </xf>
    <xf numFmtId="38" fontId="0" fillId="2" borderId="79" xfId="1" applyFont="1" applyFill="1" applyBorder="1" applyAlignment="1"/>
    <xf numFmtId="38" fontId="0" fillId="2" borderId="80" xfId="1" applyFont="1" applyFill="1" applyBorder="1" applyAlignment="1"/>
    <xf numFmtId="38" fontId="0" fillId="2" borderId="81" xfId="1" applyFont="1" applyFill="1" applyBorder="1" applyAlignment="1"/>
    <xf numFmtId="38" fontId="0" fillId="2" borderId="82" xfId="1" applyFont="1" applyFill="1" applyBorder="1" applyAlignment="1"/>
    <xf numFmtId="38" fontId="0" fillId="2" borderId="10" xfId="1" applyFont="1" applyFill="1" applyBorder="1" applyAlignment="1"/>
    <xf numFmtId="38" fontId="0" fillId="2" borderId="11" xfId="1" applyFont="1" applyFill="1" applyBorder="1" applyAlignment="1"/>
    <xf numFmtId="0" fontId="19" fillId="0" borderId="0" xfId="0" applyFont="1"/>
    <xf numFmtId="0" fontId="0" fillId="0" borderId="26" xfId="0" applyBorder="1"/>
    <xf numFmtId="0" fontId="30" fillId="0" borderId="0" xfId="0" applyFont="1"/>
    <xf numFmtId="0" fontId="31" fillId="0" borderId="0" xfId="0" applyFont="1"/>
    <xf numFmtId="0" fontId="23" fillId="3" borderId="1" xfId="0" applyFont="1" applyFill="1" applyBorder="1" applyAlignment="1" applyProtection="1">
      <alignment horizontal="center" vertical="center"/>
      <protection hidden="1"/>
    </xf>
    <xf numFmtId="38" fontId="7" fillId="5" borderId="1" xfId="1" applyFont="1" applyFill="1" applyBorder="1" applyAlignment="1" applyProtection="1">
      <alignment vertical="center"/>
      <protection locked="0"/>
    </xf>
    <xf numFmtId="0" fontId="0" fillId="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shrinkToFit="1"/>
      <protection hidden="1"/>
    </xf>
    <xf numFmtId="0" fontId="20" fillId="0" borderId="1" xfId="0" applyFont="1" applyFill="1" applyBorder="1"/>
    <xf numFmtId="0" fontId="32" fillId="0" borderId="1" xfId="0" applyFont="1" applyFill="1" applyBorder="1"/>
    <xf numFmtId="0" fontId="0" fillId="0" borderId="0" xfId="0" applyFont="1"/>
    <xf numFmtId="0" fontId="0" fillId="6" borderId="1" xfId="0" applyFill="1" applyBorder="1" applyAlignment="1" applyProtection="1">
      <alignment vertical="center" shrinkToFit="1"/>
      <protection hidden="1"/>
    </xf>
    <xf numFmtId="0" fontId="17" fillId="6" borderId="0" xfId="0" applyFont="1" applyFill="1" applyAlignment="1" applyProtection="1">
      <alignment vertical="top" wrapText="1"/>
      <protection hidden="1"/>
    </xf>
    <xf numFmtId="0" fontId="0" fillId="6" borderId="56" xfId="0" applyFill="1" applyBorder="1" applyAlignment="1" applyProtection="1">
      <alignment horizontal="center" vertical="center" shrinkToFit="1"/>
      <protection hidden="1"/>
    </xf>
    <xf numFmtId="0" fontId="7" fillId="6" borderId="52" xfId="0" applyFont="1" applyFill="1" applyBorder="1" applyAlignment="1" applyProtection="1">
      <alignment horizontal="center" vertical="center" shrinkToFit="1"/>
      <protection hidden="1"/>
    </xf>
    <xf numFmtId="0" fontId="0" fillId="6" borderId="8" xfId="0" applyFont="1" applyFill="1" applyBorder="1" applyAlignment="1" applyProtection="1">
      <alignment horizontal="center" vertical="center" shrinkToFit="1"/>
      <protection hidden="1"/>
    </xf>
    <xf numFmtId="0" fontId="7" fillId="6" borderId="1" xfId="0" applyFont="1" applyFill="1" applyBorder="1" applyAlignment="1" applyProtection="1">
      <alignment horizontal="center" vertical="center" shrinkToFit="1"/>
      <protection hidden="1"/>
    </xf>
    <xf numFmtId="0" fontId="0" fillId="6" borderId="52" xfId="0" applyFill="1" applyBorder="1" applyAlignment="1" applyProtection="1">
      <alignment horizontal="center" vertical="center" shrinkToFit="1"/>
      <protection hidden="1"/>
    </xf>
    <xf numFmtId="0" fontId="6" fillId="6" borderId="72" xfId="0" applyFont="1" applyFill="1" applyBorder="1" applyAlignment="1" applyProtection="1">
      <alignment vertical="center"/>
      <protection hidden="1"/>
    </xf>
    <xf numFmtId="0" fontId="6" fillId="6" borderId="74" xfId="0" applyFont="1" applyFill="1" applyBorder="1" applyAlignment="1" applyProtection="1">
      <alignment vertical="center"/>
      <protection hidden="1"/>
    </xf>
    <xf numFmtId="0" fontId="6" fillId="6" borderId="76" xfId="0" applyFont="1" applyFill="1" applyBorder="1" applyAlignment="1" applyProtection="1">
      <alignment horizontal="left" vertical="center"/>
      <protection hidden="1"/>
    </xf>
    <xf numFmtId="38" fontId="0" fillId="6" borderId="1" xfId="1" applyFont="1" applyFill="1" applyBorder="1" applyAlignment="1" applyProtection="1">
      <alignment vertical="center" shrinkToFit="1"/>
      <protection hidden="1"/>
    </xf>
    <xf numFmtId="38" fontId="4" fillId="6" borderId="1" xfId="1" applyFont="1" applyFill="1" applyBorder="1" applyAlignment="1" applyProtection="1">
      <alignment vertical="center" shrinkToFit="1"/>
      <protection hidden="1"/>
    </xf>
    <xf numFmtId="38" fontId="0" fillId="6" borderId="8" xfId="1" applyFont="1" applyFill="1" applyBorder="1" applyAlignment="1" applyProtection="1">
      <alignment vertical="center" shrinkToFit="1"/>
      <protection hidden="1"/>
    </xf>
    <xf numFmtId="38" fontId="4" fillId="6" borderId="8" xfId="1" applyFont="1" applyFill="1" applyBorder="1" applyAlignment="1" applyProtection="1">
      <alignment vertical="center" shrinkToFit="1"/>
      <protection hidden="1"/>
    </xf>
    <xf numFmtId="0" fontId="0" fillId="6" borderId="0" xfId="0" applyFill="1" applyAlignment="1" applyProtection="1">
      <alignment vertical="center" shrinkToFit="1"/>
      <protection hidden="1"/>
    </xf>
    <xf numFmtId="0" fontId="0" fillId="0" borderId="0" xfId="0" applyAlignment="1" applyProtection="1">
      <alignment vertical="center" shrinkToFit="1"/>
      <protection hidden="1"/>
    </xf>
    <xf numFmtId="0" fontId="4" fillId="2" borderId="5" xfId="0" applyFont="1" applyFill="1" applyBorder="1" applyAlignment="1" applyProtection="1">
      <alignment horizontal="center" vertical="center" shrinkToFit="1"/>
      <protection hidden="1"/>
    </xf>
    <xf numFmtId="0" fontId="4" fillId="2" borderId="23" xfId="0" applyFont="1" applyFill="1" applyBorder="1" applyAlignment="1" applyProtection="1">
      <alignment horizontal="center" vertical="center" shrinkToFit="1"/>
      <protection hidden="1"/>
    </xf>
    <xf numFmtId="38" fontId="4" fillId="2" borderId="4" xfId="0" applyNumberFormat="1" applyFont="1" applyFill="1" applyBorder="1" applyAlignment="1" applyProtection="1">
      <alignment vertical="center" shrinkToFit="1"/>
      <protection hidden="1"/>
    </xf>
    <xf numFmtId="0" fontId="0" fillId="6" borderId="0" xfId="0" applyFill="1" applyAlignment="1" applyProtection="1">
      <alignment vertical="top" shrinkToFit="1"/>
      <protection hidden="1"/>
    </xf>
    <xf numFmtId="38" fontId="0" fillId="2" borderId="6" xfId="1" applyFont="1" applyFill="1" applyBorder="1" applyAlignment="1" applyProtection="1">
      <alignment vertical="center" shrinkToFit="1"/>
      <protection hidden="1"/>
    </xf>
    <xf numFmtId="0" fontId="3" fillId="0" borderId="0" xfId="0" applyFont="1" applyBorder="1" applyAlignment="1">
      <alignment horizontal="center"/>
    </xf>
    <xf numFmtId="0" fontId="4" fillId="0" borderId="0" xfId="0" applyFont="1" applyBorder="1"/>
    <xf numFmtId="0" fontId="0" fillId="0" borderId="0" xfId="0" applyBorder="1"/>
    <xf numFmtId="0" fontId="0" fillId="6" borderId="26" xfId="0" applyFill="1" applyBorder="1" applyAlignment="1" applyProtection="1">
      <alignment horizontal="center" vertical="center"/>
      <protection hidden="1"/>
    </xf>
    <xf numFmtId="0" fontId="0" fillId="6" borderId="25" xfId="0" applyFill="1" applyBorder="1" applyAlignment="1" applyProtection="1">
      <alignment horizontal="center" vertical="center"/>
      <protection hidden="1"/>
    </xf>
    <xf numFmtId="0" fontId="13" fillId="6" borderId="5" xfId="0" applyFont="1" applyFill="1" applyBorder="1" applyAlignment="1" applyProtection="1">
      <alignment horizontal="center" vertical="center"/>
      <protection hidden="1"/>
    </xf>
    <xf numFmtId="0" fontId="13" fillId="6" borderId="16" xfId="0" applyFont="1" applyFill="1" applyBorder="1" applyAlignment="1" applyProtection="1">
      <alignment horizontal="center" vertical="center"/>
      <protection hidden="1"/>
    </xf>
    <xf numFmtId="0" fontId="13" fillId="6" borderId="6" xfId="0" applyFont="1" applyFill="1" applyBorder="1" applyAlignment="1" applyProtection="1">
      <alignment horizontal="center" vertical="center"/>
      <protection hidden="1"/>
    </xf>
    <xf numFmtId="0" fontId="7" fillId="5" borderId="5"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8" fillId="5" borderId="5" xfId="0" applyFont="1" applyFill="1" applyBorder="1" applyAlignment="1" applyProtection="1">
      <alignment horizontal="right" vertical="center"/>
      <protection locked="0"/>
    </xf>
    <xf numFmtId="0" fontId="8" fillId="5" borderId="6" xfId="0" applyFont="1" applyFill="1" applyBorder="1" applyAlignment="1" applyProtection="1">
      <alignment horizontal="right" vertical="center"/>
      <protection locked="0"/>
    </xf>
    <xf numFmtId="0" fontId="0" fillId="0" borderId="1" xfId="0" applyFill="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17" fillId="6" borderId="0" xfId="0" applyFont="1" applyFill="1" applyAlignment="1" applyProtection="1">
      <alignment horizontal="left" vertical="top" wrapText="1"/>
      <protection hidden="1"/>
    </xf>
    <xf numFmtId="0" fontId="0" fillId="2" borderId="5" xfId="0" applyFill="1" applyBorder="1" applyAlignment="1" applyProtection="1">
      <alignment horizontal="left" vertical="center" shrinkToFit="1"/>
      <protection hidden="1"/>
    </xf>
    <xf numFmtId="0" fontId="0" fillId="2" borderId="23" xfId="0" applyFill="1" applyBorder="1" applyAlignment="1" applyProtection="1">
      <alignment horizontal="left" vertical="center" shrinkToFit="1"/>
      <protection hidden="1"/>
    </xf>
    <xf numFmtId="0" fontId="4" fillId="4" borderId="40" xfId="0" applyFont="1" applyFill="1" applyBorder="1" applyAlignment="1" applyProtection="1">
      <alignment horizontal="center" vertical="center"/>
      <protection hidden="1"/>
    </xf>
    <xf numFmtId="0" fontId="0" fillId="4" borderId="41" xfId="0" applyFill="1" applyBorder="1" applyAlignment="1" applyProtection="1">
      <alignment horizontal="center" vertical="center"/>
      <protection hidden="1"/>
    </xf>
    <xf numFmtId="0" fontId="0" fillId="4" borderId="42" xfId="0" applyFill="1" applyBorder="1" applyAlignment="1" applyProtection="1">
      <alignment horizontal="center" vertical="center"/>
      <protection hidden="1"/>
    </xf>
    <xf numFmtId="0" fontId="0" fillId="4" borderId="38" xfId="0" applyFill="1" applyBorder="1" applyAlignment="1" applyProtection="1">
      <alignment horizontal="left" vertical="center"/>
      <protection hidden="1"/>
    </xf>
    <xf numFmtId="0" fontId="0" fillId="4" borderId="0" xfId="0" applyFill="1" applyBorder="1" applyAlignment="1" applyProtection="1">
      <alignment horizontal="left" vertical="center"/>
      <protection hidden="1"/>
    </xf>
    <xf numFmtId="0" fontId="0" fillId="4" borderId="39" xfId="0" applyFill="1" applyBorder="1" applyAlignment="1" applyProtection="1">
      <alignment horizontal="left" vertical="center"/>
      <protection hidden="1"/>
    </xf>
    <xf numFmtId="0" fontId="4" fillId="4" borderId="38" xfId="0" applyFont="1" applyFill="1" applyBorder="1" applyAlignment="1" applyProtection="1">
      <alignment horizontal="left" vertical="top" wrapText="1"/>
      <protection hidden="1"/>
    </xf>
    <xf numFmtId="0" fontId="4" fillId="4" borderId="0" xfId="0" applyFont="1" applyFill="1" applyBorder="1" applyAlignment="1" applyProtection="1">
      <alignment horizontal="left" vertical="top" wrapText="1"/>
      <protection hidden="1"/>
    </xf>
    <xf numFmtId="0" fontId="4" fillId="4" borderId="39" xfId="0" applyFont="1" applyFill="1" applyBorder="1" applyAlignment="1" applyProtection="1">
      <alignment horizontal="left" vertical="top" wrapText="1"/>
      <protection hidden="1"/>
    </xf>
    <xf numFmtId="0" fontId="0" fillId="4" borderId="38" xfId="0" applyFill="1" applyBorder="1" applyAlignment="1" applyProtection="1">
      <alignment horizontal="left" vertical="center" wrapText="1"/>
      <protection hidden="1"/>
    </xf>
    <xf numFmtId="0" fontId="0" fillId="4" borderId="0" xfId="0" applyFill="1" applyBorder="1" applyAlignment="1" applyProtection="1">
      <alignment horizontal="left" vertical="center" wrapText="1"/>
      <protection hidden="1"/>
    </xf>
    <xf numFmtId="0" fontId="0" fillId="6" borderId="27" xfId="0" applyFill="1" applyBorder="1" applyAlignment="1" applyProtection="1">
      <alignment horizontal="center" vertical="center"/>
      <protection hidden="1"/>
    </xf>
    <xf numFmtId="0" fontId="9" fillId="10" borderId="8" xfId="0" applyFont="1" applyFill="1" applyBorder="1" applyAlignment="1" applyProtection="1">
      <alignment horizontal="center" vertical="center"/>
      <protection hidden="1"/>
    </xf>
    <xf numFmtId="0" fontId="9" fillId="10" borderId="56" xfId="0" applyFont="1" applyFill="1" applyBorder="1" applyAlignment="1" applyProtection="1">
      <alignment horizontal="center" vertical="center"/>
      <protection hidden="1"/>
    </xf>
    <xf numFmtId="0" fontId="9" fillId="5" borderId="8" xfId="0" applyFont="1" applyFill="1" applyBorder="1" applyAlignment="1" applyProtection="1">
      <alignment horizontal="center" vertical="center"/>
      <protection hidden="1"/>
    </xf>
    <xf numFmtId="0" fontId="9" fillId="5" borderId="9" xfId="0" applyFont="1" applyFill="1" applyBorder="1" applyAlignment="1" applyProtection="1">
      <alignment horizontal="center" vertical="center"/>
      <protection hidden="1"/>
    </xf>
    <xf numFmtId="0" fontId="9" fillId="5" borderId="64" xfId="0" applyFont="1" applyFill="1" applyBorder="1" applyAlignment="1" applyProtection="1">
      <alignment horizontal="center" vertical="center"/>
      <protection hidden="1"/>
    </xf>
    <xf numFmtId="0" fontId="9" fillId="11" borderId="8" xfId="0" applyFont="1" applyFill="1" applyBorder="1" applyAlignment="1" applyProtection="1">
      <alignment horizontal="distributed" indent="1"/>
      <protection hidden="1"/>
    </xf>
    <xf numFmtId="0" fontId="9" fillId="10" borderId="58" xfId="0" applyFont="1" applyFill="1" applyBorder="1" applyAlignment="1" applyProtection="1">
      <alignment horizontal="distributed" indent="1"/>
      <protection hidden="1"/>
    </xf>
    <xf numFmtId="0" fontId="7" fillId="6" borderId="57" xfId="0" applyFont="1" applyFill="1" applyBorder="1" applyAlignment="1" applyProtection="1">
      <alignment horizontal="center" vertical="center"/>
      <protection hidden="1"/>
    </xf>
    <xf numFmtId="0" fontId="9" fillId="6" borderId="68" xfId="0" applyFont="1" applyFill="1" applyBorder="1" applyAlignment="1" applyProtection="1">
      <alignment horizontal="center" vertical="center"/>
      <protection hidden="1"/>
    </xf>
    <xf numFmtId="0" fontId="9" fillId="6" borderId="69" xfId="0" applyFont="1" applyFill="1" applyBorder="1" applyAlignment="1" applyProtection="1">
      <alignment horizontal="center" vertical="center"/>
      <protection hidden="1"/>
    </xf>
    <xf numFmtId="0" fontId="9" fillId="11" borderId="8" xfId="0" applyFont="1" applyFill="1" applyBorder="1" applyAlignment="1" applyProtection="1">
      <alignment horizontal="center" vertical="center"/>
      <protection hidden="1"/>
    </xf>
    <xf numFmtId="0" fontId="9" fillId="11" borderId="56" xfId="0" applyFont="1" applyFill="1" applyBorder="1" applyAlignment="1" applyProtection="1">
      <alignment horizontal="center" vertical="center"/>
      <protection hidden="1"/>
    </xf>
    <xf numFmtId="0" fontId="20" fillId="11" borderId="56" xfId="0" applyFont="1" applyFill="1" applyBorder="1" applyAlignment="1" applyProtection="1">
      <alignment horizontal="center" vertical="top"/>
      <protection hidden="1"/>
    </xf>
    <xf numFmtId="0" fontId="7" fillId="5" borderId="65" xfId="0" applyFont="1" applyFill="1" applyBorder="1" applyAlignment="1" applyProtection="1">
      <alignment horizontal="distributed" vertical="center" indent="1"/>
      <protection hidden="1"/>
    </xf>
    <xf numFmtId="0" fontId="9" fillId="5" borderId="66" xfId="0" applyFont="1" applyFill="1" applyBorder="1" applyAlignment="1" applyProtection="1">
      <alignment horizontal="distributed" vertical="center" indent="1"/>
      <protection hidden="1"/>
    </xf>
    <xf numFmtId="0" fontId="9" fillId="5" borderId="67" xfId="0" applyFont="1" applyFill="1" applyBorder="1" applyAlignment="1" applyProtection="1">
      <alignment horizontal="distributed" vertical="center" indent="1"/>
      <protection hidden="1"/>
    </xf>
    <xf numFmtId="0" fontId="9" fillId="5" borderId="55" xfId="0" applyFont="1" applyFill="1" applyBorder="1" applyAlignment="1" applyProtection="1">
      <alignment horizontal="distributed" vertical="center" indent="1"/>
      <protection hidden="1"/>
    </xf>
    <xf numFmtId="0" fontId="9" fillId="5" borderId="70" xfId="0" applyFont="1" applyFill="1" applyBorder="1" applyAlignment="1" applyProtection="1">
      <alignment horizontal="distributed" vertical="center" indent="1"/>
      <protection hidden="1"/>
    </xf>
    <xf numFmtId="0" fontId="9" fillId="5" borderId="71" xfId="0" applyFont="1" applyFill="1" applyBorder="1" applyAlignment="1" applyProtection="1">
      <alignment horizontal="distributed" vertical="center" indent="1"/>
      <protection hidden="1"/>
    </xf>
    <xf numFmtId="0" fontId="9" fillId="5" borderId="53" xfId="0" applyFont="1" applyFill="1" applyBorder="1" applyAlignment="1" applyProtection="1">
      <alignment horizontal="distributed" vertical="center" wrapText="1" indent="1"/>
      <protection hidden="1"/>
    </xf>
    <xf numFmtId="0" fontId="9" fillId="5" borderId="54" xfId="0" applyFont="1" applyFill="1" applyBorder="1" applyAlignment="1" applyProtection="1">
      <alignment horizontal="distributed" vertical="center" indent="1"/>
      <protection hidden="1"/>
    </xf>
    <xf numFmtId="0" fontId="9" fillId="5" borderId="52" xfId="0" applyFont="1" applyFill="1" applyBorder="1" applyAlignment="1" applyProtection="1">
      <alignment horizontal="distributed" vertical="center" indent="1"/>
      <protection hidden="1"/>
    </xf>
    <xf numFmtId="0" fontId="19" fillId="5" borderId="9" xfId="0" applyFont="1" applyFill="1" applyBorder="1" applyAlignment="1" applyProtection="1">
      <alignment horizontal="center" vertical="top"/>
      <protection hidden="1"/>
    </xf>
    <xf numFmtId="0" fontId="20" fillId="5" borderId="9" xfId="0" applyFont="1" applyFill="1" applyBorder="1" applyAlignment="1" applyProtection="1">
      <alignment horizontal="center" vertical="top"/>
      <protection hidden="1"/>
    </xf>
    <xf numFmtId="0" fontId="20" fillId="10" borderId="56" xfId="0" applyFont="1" applyFill="1" applyBorder="1" applyAlignment="1" applyProtection="1">
      <alignment horizontal="center" vertical="top"/>
      <protection hidden="1"/>
    </xf>
    <xf numFmtId="0" fontId="7" fillId="10" borderId="62" xfId="0" applyFont="1" applyFill="1" applyBorder="1" applyAlignment="1" applyProtection="1">
      <alignment horizontal="center" vertical="center" textRotation="255"/>
      <protection hidden="1"/>
    </xf>
    <xf numFmtId="0" fontId="9" fillId="10" borderId="61" xfId="0" applyFont="1" applyFill="1" applyBorder="1" applyAlignment="1" applyProtection="1">
      <alignment horizontal="center" vertical="center" textRotation="255"/>
      <protection hidden="1"/>
    </xf>
    <xf numFmtId="0" fontId="9" fillId="10" borderId="63" xfId="0" applyFont="1" applyFill="1" applyBorder="1" applyAlignment="1" applyProtection="1">
      <alignment horizontal="center" vertical="center" textRotation="255"/>
      <protection hidden="1"/>
    </xf>
    <xf numFmtId="0" fontId="7" fillId="11" borderId="62" xfId="0" applyFont="1" applyFill="1" applyBorder="1" applyAlignment="1" applyProtection="1">
      <alignment horizontal="center" vertical="center" textRotation="255"/>
      <protection hidden="1"/>
    </xf>
    <xf numFmtId="0" fontId="9" fillId="11" borderId="61" xfId="0" applyFont="1" applyFill="1" applyBorder="1" applyAlignment="1" applyProtection="1">
      <alignment horizontal="center" vertical="center" textRotation="255"/>
      <protection hidden="1"/>
    </xf>
    <xf numFmtId="0" fontId="9" fillId="11" borderId="63" xfId="0" applyFont="1" applyFill="1" applyBorder="1" applyAlignment="1" applyProtection="1">
      <alignment horizontal="center" vertical="center" textRotation="255"/>
      <protection hidden="1"/>
    </xf>
    <xf numFmtId="0" fontId="9" fillId="5" borderId="58" xfId="0" applyFont="1" applyFill="1" applyBorder="1" applyAlignment="1" applyProtection="1">
      <alignment horizontal="distributed" indent="1"/>
      <protection hidden="1"/>
    </xf>
    <xf numFmtId="0" fontId="20" fillId="5" borderId="55" xfId="0" applyFont="1" applyFill="1" applyBorder="1" applyAlignment="1" applyProtection="1">
      <alignment horizontal="center" vertical="top"/>
      <protection hidden="1"/>
    </xf>
    <xf numFmtId="0" fontId="20" fillId="5" borderId="70" xfId="0" applyFont="1" applyFill="1" applyBorder="1" applyAlignment="1" applyProtection="1">
      <alignment horizontal="center" vertical="top"/>
      <protection hidden="1"/>
    </xf>
    <xf numFmtId="0" fontId="20" fillId="5" borderId="71" xfId="0" applyFont="1" applyFill="1" applyBorder="1" applyAlignment="1" applyProtection="1">
      <alignment horizontal="center" vertical="top"/>
      <protection hidden="1"/>
    </xf>
    <xf numFmtId="0" fontId="9" fillId="5" borderId="53" xfId="0" applyFont="1" applyFill="1" applyBorder="1" applyAlignment="1" applyProtection="1">
      <alignment horizontal="center" vertical="center" shrinkToFit="1"/>
      <protection hidden="1"/>
    </xf>
    <xf numFmtId="0" fontId="9" fillId="5" borderId="54" xfId="0" applyFont="1" applyFill="1" applyBorder="1" applyAlignment="1" applyProtection="1">
      <alignment horizontal="center" vertical="center" shrinkToFit="1"/>
      <protection hidden="1"/>
    </xf>
    <xf numFmtId="0" fontId="9" fillId="5" borderId="52" xfId="0" applyFont="1" applyFill="1" applyBorder="1" applyAlignment="1" applyProtection="1">
      <alignment horizontal="center" vertical="center" shrinkToFit="1"/>
      <protection hidden="1"/>
    </xf>
    <xf numFmtId="0" fontId="9" fillId="5" borderId="55" xfId="0" applyFont="1" applyFill="1" applyBorder="1" applyAlignment="1" applyProtection="1">
      <alignment horizontal="center" vertical="center" shrinkToFit="1"/>
      <protection hidden="1"/>
    </xf>
    <xf numFmtId="0" fontId="9" fillId="5" borderId="70" xfId="0" applyFont="1" applyFill="1" applyBorder="1" applyAlignment="1" applyProtection="1">
      <alignment horizontal="center" vertical="center" shrinkToFit="1"/>
      <protection hidden="1"/>
    </xf>
    <xf numFmtId="0" fontId="9" fillId="5" borderId="71" xfId="0" applyFont="1" applyFill="1" applyBorder="1" applyAlignment="1" applyProtection="1">
      <alignment horizontal="center" vertical="center" shrinkToFit="1"/>
      <protection hidden="1"/>
    </xf>
    <xf numFmtId="177" fontId="22" fillId="9" borderId="73" xfId="0" applyNumberFormat="1" applyFont="1" applyFill="1" applyBorder="1" applyAlignment="1" applyProtection="1">
      <alignment horizontal="right" vertical="center" shrinkToFit="1"/>
      <protection hidden="1"/>
    </xf>
    <xf numFmtId="177" fontId="22" fillId="9" borderId="84" xfId="0" applyNumberFormat="1" applyFont="1" applyFill="1" applyBorder="1" applyAlignment="1" applyProtection="1">
      <alignment horizontal="right" vertical="center" shrinkToFit="1"/>
      <protection hidden="1"/>
    </xf>
    <xf numFmtId="177" fontId="22" fillId="9" borderId="64" xfId="0" applyNumberFormat="1" applyFont="1" applyFill="1" applyBorder="1" applyAlignment="1" applyProtection="1">
      <alignment horizontal="right" vertical="center" shrinkToFit="1"/>
      <protection hidden="1"/>
    </xf>
    <xf numFmtId="177" fontId="22" fillId="9" borderId="9" xfId="0" applyNumberFormat="1" applyFont="1" applyFill="1" applyBorder="1" applyAlignment="1" applyProtection="1">
      <alignment horizontal="right" vertical="center" shrinkToFit="1"/>
      <protection hidden="1"/>
    </xf>
    <xf numFmtId="0" fontId="7" fillId="9" borderId="65" xfId="0" applyFont="1" applyFill="1" applyBorder="1" applyAlignment="1" applyProtection="1">
      <alignment horizontal="distributed" vertical="center" indent="1"/>
      <protection hidden="1"/>
    </xf>
    <xf numFmtId="0" fontId="9" fillId="9" borderId="66" xfId="0" applyFont="1" applyFill="1" applyBorder="1" applyAlignment="1" applyProtection="1">
      <alignment horizontal="distributed" vertical="center" indent="1"/>
      <protection hidden="1"/>
    </xf>
    <xf numFmtId="0" fontId="9" fillId="9" borderId="67" xfId="0" applyFont="1" applyFill="1" applyBorder="1" applyAlignment="1" applyProtection="1">
      <alignment horizontal="distributed" vertical="center" indent="1"/>
      <protection hidden="1"/>
    </xf>
    <xf numFmtId="0" fontId="9" fillId="9" borderId="55" xfId="0" applyFont="1" applyFill="1" applyBorder="1" applyAlignment="1" applyProtection="1">
      <alignment horizontal="distributed" vertical="center" indent="1"/>
      <protection hidden="1"/>
    </xf>
    <xf numFmtId="0" fontId="9" fillId="9" borderId="70" xfId="0" applyFont="1" applyFill="1" applyBorder="1" applyAlignment="1" applyProtection="1">
      <alignment horizontal="distributed" vertical="center" indent="1"/>
      <protection hidden="1"/>
    </xf>
    <xf numFmtId="0" fontId="9" fillId="9" borderId="71" xfId="0" applyFont="1" applyFill="1" applyBorder="1" applyAlignment="1" applyProtection="1">
      <alignment horizontal="distributed" vertical="center" indent="1"/>
      <protection hidden="1"/>
    </xf>
    <xf numFmtId="0" fontId="9" fillId="9" borderId="53" xfId="0" applyFont="1" applyFill="1" applyBorder="1" applyAlignment="1" applyProtection="1">
      <alignment horizontal="distributed" vertical="center" indent="1"/>
      <protection hidden="1"/>
    </xf>
    <xf numFmtId="0" fontId="9" fillId="9" borderId="54" xfId="0" applyFont="1" applyFill="1" applyBorder="1" applyAlignment="1" applyProtection="1">
      <alignment horizontal="distributed" vertical="center" indent="1"/>
      <protection hidden="1"/>
    </xf>
    <xf numFmtId="0" fontId="9" fillId="9" borderId="52" xfId="0" applyFont="1" applyFill="1" applyBorder="1" applyAlignment="1" applyProtection="1">
      <alignment horizontal="distributed" vertical="center" indent="1"/>
      <protection hidden="1"/>
    </xf>
    <xf numFmtId="176" fontId="22" fillId="9" borderId="85" xfId="2" applyNumberFormat="1" applyFont="1" applyFill="1" applyBorder="1" applyAlignment="1" applyProtection="1">
      <alignment horizontal="right" vertical="center" shrinkToFit="1"/>
      <protection hidden="1"/>
    </xf>
    <xf numFmtId="176" fontId="22" fillId="9" borderId="84" xfId="2" applyNumberFormat="1" applyFont="1" applyFill="1" applyBorder="1" applyAlignment="1" applyProtection="1">
      <alignment horizontal="right" vertical="center" shrinkToFit="1"/>
      <protection hidden="1"/>
    </xf>
    <xf numFmtId="176" fontId="22" fillId="9" borderId="8" xfId="2" applyNumberFormat="1" applyFont="1" applyFill="1" applyBorder="1" applyAlignment="1" applyProtection="1">
      <alignment horizontal="right" vertical="center" shrinkToFit="1"/>
      <protection hidden="1"/>
    </xf>
    <xf numFmtId="176" fontId="22" fillId="9" borderId="9" xfId="2" applyNumberFormat="1" applyFont="1" applyFill="1" applyBorder="1" applyAlignment="1" applyProtection="1">
      <alignment horizontal="right" vertical="center" shrinkToFit="1"/>
      <protection hidden="1"/>
    </xf>
    <xf numFmtId="0" fontId="9" fillId="9" borderId="8" xfId="0" applyFont="1" applyFill="1" applyBorder="1" applyAlignment="1" applyProtection="1">
      <alignment horizontal="center" vertical="center"/>
      <protection hidden="1"/>
    </xf>
    <xf numFmtId="0" fontId="9" fillId="9" borderId="9" xfId="0" applyFont="1" applyFill="1" applyBorder="1" applyAlignment="1" applyProtection="1">
      <alignment horizontal="center" vertical="center"/>
      <protection hidden="1"/>
    </xf>
    <xf numFmtId="0" fontId="7" fillId="9" borderId="64" xfId="0" applyFont="1" applyFill="1" applyBorder="1" applyAlignment="1" applyProtection="1">
      <alignment horizontal="center" vertical="center"/>
      <protection hidden="1"/>
    </xf>
    <xf numFmtId="177" fontId="22" fillId="5" borderId="8" xfId="0" applyNumberFormat="1" applyFont="1" applyFill="1" applyBorder="1" applyAlignment="1" applyProtection="1">
      <alignment horizontal="right" vertical="center" shrinkToFit="1"/>
      <protection hidden="1"/>
    </xf>
    <xf numFmtId="177" fontId="22" fillId="5" borderId="9" xfId="0" applyNumberFormat="1" applyFont="1" applyFill="1" applyBorder="1" applyAlignment="1" applyProtection="1">
      <alignment horizontal="right" vertical="center" shrinkToFit="1"/>
      <protection hidden="1"/>
    </xf>
    <xf numFmtId="177" fontId="22" fillId="5" borderId="85" xfId="0" applyNumberFormat="1" applyFont="1" applyFill="1" applyBorder="1" applyAlignment="1" applyProtection="1">
      <alignment horizontal="right" vertical="center" shrinkToFit="1"/>
      <protection hidden="1"/>
    </xf>
    <xf numFmtId="177" fontId="22" fillId="5" borderId="84" xfId="0" applyNumberFormat="1" applyFont="1" applyFill="1" applyBorder="1" applyAlignment="1" applyProtection="1">
      <alignment horizontal="right" vertical="center" shrinkToFit="1"/>
      <protection hidden="1"/>
    </xf>
    <xf numFmtId="177" fontId="22" fillId="8" borderId="8" xfId="0" applyNumberFormat="1" applyFont="1" applyFill="1" applyBorder="1" applyAlignment="1" applyProtection="1">
      <alignment horizontal="right" vertical="center" shrinkToFit="1"/>
      <protection hidden="1"/>
    </xf>
    <xf numFmtId="177" fontId="22" fillId="8" borderId="9" xfId="0" applyNumberFormat="1" applyFont="1" applyFill="1" applyBorder="1" applyAlignment="1" applyProtection="1">
      <alignment horizontal="right" vertical="center" shrinkToFit="1"/>
      <protection hidden="1"/>
    </xf>
    <xf numFmtId="177" fontId="22" fillId="8" borderId="85" xfId="0" applyNumberFormat="1" applyFont="1" applyFill="1" applyBorder="1" applyAlignment="1" applyProtection="1">
      <alignment horizontal="right" vertical="center" shrinkToFit="1"/>
      <protection hidden="1"/>
    </xf>
    <xf numFmtId="177" fontId="22" fillId="8" borderId="84" xfId="0" applyNumberFormat="1" applyFont="1" applyFill="1" applyBorder="1" applyAlignment="1" applyProtection="1">
      <alignment horizontal="right" vertical="center" shrinkToFit="1"/>
      <protection hidden="1"/>
    </xf>
    <xf numFmtId="178" fontId="22" fillId="5" borderId="73" xfId="0" applyNumberFormat="1" applyFont="1" applyFill="1" applyBorder="1" applyAlignment="1" applyProtection="1">
      <alignment horizontal="right" vertical="center" shrinkToFit="1"/>
      <protection hidden="1"/>
    </xf>
    <xf numFmtId="178" fontId="22" fillId="5" borderId="84" xfId="0" applyNumberFormat="1" applyFont="1" applyFill="1" applyBorder="1" applyAlignment="1" applyProtection="1">
      <alignment horizontal="right" vertical="center" shrinkToFit="1"/>
      <protection hidden="1"/>
    </xf>
    <xf numFmtId="178" fontId="22" fillId="5" borderId="64" xfId="0" applyNumberFormat="1" applyFont="1" applyFill="1" applyBorder="1" applyAlignment="1" applyProtection="1">
      <alignment horizontal="right" vertical="center" shrinkToFit="1"/>
      <protection hidden="1"/>
    </xf>
    <xf numFmtId="178" fontId="22" fillId="5" borderId="9" xfId="0" applyNumberFormat="1" applyFont="1" applyFill="1" applyBorder="1" applyAlignment="1" applyProtection="1">
      <alignment horizontal="right" vertical="center" shrinkToFit="1"/>
      <protection hidden="1"/>
    </xf>
    <xf numFmtId="177" fontId="22" fillId="11" borderId="8" xfId="0" applyNumberFormat="1" applyFont="1" applyFill="1" applyBorder="1" applyAlignment="1" applyProtection="1">
      <alignment horizontal="right" vertical="center" shrinkToFit="1"/>
      <protection hidden="1"/>
    </xf>
    <xf numFmtId="177" fontId="22" fillId="11" borderId="56" xfId="0" applyNumberFormat="1" applyFont="1" applyFill="1" applyBorder="1" applyAlignment="1" applyProtection="1">
      <alignment horizontal="right" vertical="center" shrinkToFit="1"/>
      <protection hidden="1"/>
    </xf>
    <xf numFmtId="177" fontId="22" fillId="11" borderId="85" xfId="0" applyNumberFormat="1" applyFont="1" applyFill="1" applyBorder="1" applyAlignment="1" applyProtection="1">
      <alignment horizontal="right" vertical="center" shrinkToFit="1"/>
      <protection hidden="1"/>
    </xf>
    <xf numFmtId="177" fontId="22" fillId="11" borderId="77" xfId="0" applyNumberFormat="1" applyFont="1" applyFill="1" applyBorder="1" applyAlignment="1" applyProtection="1">
      <alignment horizontal="right" vertical="center" shrinkToFit="1"/>
      <protection hidden="1"/>
    </xf>
    <xf numFmtId="177" fontId="22" fillId="8" borderId="73" xfId="0" applyNumberFormat="1" applyFont="1" applyFill="1" applyBorder="1" applyAlignment="1" applyProtection="1">
      <alignment horizontal="right" vertical="center" shrinkToFit="1"/>
      <protection hidden="1"/>
    </xf>
    <xf numFmtId="177" fontId="22" fillId="8" borderId="64" xfId="0" applyNumberFormat="1" applyFont="1" applyFill="1" applyBorder="1" applyAlignment="1" applyProtection="1">
      <alignment horizontal="right" vertical="center" shrinkToFit="1"/>
      <protection hidden="1"/>
    </xf>
    <xf numFmtId="177" fontId="22" fillId="10" borderId="85" xfId="0" applyNumberFormat="1" applyFont="1" applyFill="1" applyBorder="1" applyAlignment="1" applyProtection="1">
      <alignment horizontal="right" vertical="center" shrinkToFit="1"/>
      <protection hidden="1"/>
    </xf>
    <xf numFmtId="177" fontId="22" fillId="10" borderId="77" xfId="0" applyNumberFormat="1" applyFont="1" applyFill="1" applyBorder="1" applyAlignment="1" applyProtection="1">
      <alignment horizontal="right" vertical="center" shrinkToFit="1"/>
      <protection hidden="1"/>
    </xf>
    <xf numFmtId="177" fontId="22" fillId="10" borderId="8" xfId="0" applyNumberFormat="1" applyFont="1" applyFill="1" applyBorder="1" applyAlignment="1" applyProtection="1">
      <alignment horizontal="right" vertical="center" shrinkToFit="1"/>
      <protection hidden="1"/>
    </xf>
    <xf numFmtId="177" fontId="22" fillId="10" borderId="56" xfId="0" applyNumberFormat="1" applyFont="1" applyFill="1" applyBorder="1" applyAlignment="1" applyProtection="1">
      <alignment horizontal="right" vertical="center" shrinkToFit="1"/>
      <protection hidden="1"/>
    </xf>
    <xf numFmtId="0" fontId="9" fillId="8" borderId="64" xfId="0" applyFont="1" applyFill="1" applyBorder="1" applyAlignment="1" applyProtection="1">
      <alignment horizontal="center" vertical="center"/>
      <protection hidden="1"/>
    </xf>
    <xf numFmtId="0" fontId="9" fillId="8" borderId="9" xfId="0" applyFont="1" applyFill="1" applyBorder="1" applyAlignment="1" applyProtection="1">
      <alignment horizontal="center" vertical="center"/>
      <protection hidden="1"/>
    </xf>
    <xf numFmtId="0" fontId="20" fillId="12" borderId="57" xfId="0" applyFont="1" applyFill="1" applyBorder="1" applyAlignment="1" applyProtection="1">
      <alignment horizontal="center" vertical="top"/>
      <protection hidden="1"/>
    </xf>
    <xf numFmtId="0" fontId="20" fillId="12" borderId="68" xfId="0" applyFont="1" applyFill="1" applyBorder="1" applyAlignment="1" applyProtection="1">
      <alignment horizontal="center" vertical="top"/>
      <protection hidden="1"/>
    </xf>
    <xf numFmtId="0" fontId="20" fillId="12" borderId="69" xfId="0" applyFont="1" applyFill="1" applyBorder="1" applyAlignment="1" applyProtection="1">
      <alignment horizontal="center" vertical="top"/>
      <protection hidden="1"/>
    </xf>
    <xf numFmtId="0" fontId="7" fillId="8" borderId="65" xfId="0" applyFont="1" applyFill="1" applyBorder="1" applyAlignment="1" applyProtection="1">
      <alignment horizontal="distributed" vertical="center" indent="1"/>
      <protection hidden="1"/>
    </xf>
    <xf numFmtId="0" fontId="7" fillId="8" borderId="66" xfId="0" applyFont="1" applyFill="1" applyBorder="1" applyAlignment="1" applyProtection="1">
      <alignment horizontal="distributed" vertical="center" indent="1"/>
      <protection hidden="1"/>
    </xf>
    <xf numFmtId="0" fontId="7" fillId="8" borderId="67" xfId="0" applyFont="1" applyFill="1" applyBorder="1" applyAlignment="1" applyProtection="1">
      <alignment horizontal="distributed" vertical="center" indent="1"/>
      <protection hidden="1"/>
    </xf>
    <xf numFmtId="0" fontId="7" fillId="8" borderId="55" xfId="0" applyFont="1" applyFill="1" applyBorder="1" applyAlignment="1" applyProtection="1">
      <alignment horizontal="distributed" vertical="center" indent="1"/>
      <protection hidden="1"/>
    </xf>
    <xf numFmtId="0" fontId="7" fillId="8" borderId="70" xfId="0" applyFont="1" applyFill="1" applyBorder="1" applyAlignment="1" applyProtection="1">
      <alignment horizontal="distributed" vertical="center" indent="1"/>
      <protection hidden="1"/>
    </xf>
    <xf numFmtId="0" fontId="7" fillId="8" borderId="71" xfId="0" applyFont="1" applyFill="1" applyBorder="1" applyAlignment="1" applyProtection="1">
      <alignment horizontal="distributed" vertical="center" indent="1"/>
      <protection hidden="1"/>
    </xf>
    <xf numFmtId="0" fontId="9" fillId="12" borderId="8" xfId="0" applyFont="1" applyFill="1" applyBorder="1" applyAlignment="1" applyProtection="1">
      <alignment horizontal="center" vertical="center"/>
      <protection hidden="1"/>
    </xf>
    <xf numFmtId="0" fontId="9" fillId="12" borderId="56" xfId="0" applyFont="1" applyFill="1" applyBorder="1" applyAlignment="1" applyProtection="1">
      <alignment horizontal="center" vertical="center"/>
      <protection hidden="1"/>
    </xf>
    <xf numFmtId="0" fontId="9" fillId="8" borderId="8" xfId="0" applyFont="1" applyFill="1" applyBorder="1" applyAlignment="1" applyProtection="1">
      <alignment horizontal="center" vertical="center"/>
      <protection hidden="1"/>
    </xf>
    <xf numFmtId="177" fontId="13" fillId="6" borderId="59" xfId="0" applyNumberFormat="1" applyFont="1" applyFill="1" applyBorder="1" applyAlignment="1" applyProtection="1">
      <alignment horizontal="center" vertical="center"/>
      <protection hidden="1"/>
    </xf>
    <xf numFmtId="177" fontId="13" fillId="6" borderId="83" xfId="0" applyNumberFormat="1" applyFont="1" applyFill="1" applyBorder="1" applyAlignment="1" applyProtection="1">
      <alignment horizontal="center" vertical="center"/>
      <protection hidden="1"/>
    </xf>
    <xf numFmtId="177" fontId="13" fillId="6" borderId="60" xfId="0" applyNumberFormat="1" applyFont="1" applyFill="1" applyBorder="1" applyAlignment="1" applyProtection="1">
      <alignment horizontal="center" vertical="center"/>
      <protection hidden="1"/>
    </xf>
    <xf numFmtId="0" fontId="0" fillId="6" borderId="26" xfId="0" applyFill="1" applyBorder="1" applyAlignment="1" applyProtection="1">
      <alignment horizontal="center" vertical="center" shrinkToFit="1"/>
      <protection hidden="1"/>
    </xf>
    <xf numFmtId="0" fontId="0" fillId="6" borderId="27" xfId="0" applyFill="1" applyBorder="1" applyAlignment="1" applyProtection="1">
      <alignment horizontal="center" vertical="center" shrinkToFit="1"/>
      <protection hidden="1"/>
    </xf>
    <xf numFmtId="0" fontId="0" fillId="6" borderId="25" xfId="0" applyFill="1" applyBorder="1" applyAlignment="1" applyProtection="1">
      <alignment horizontal="center" vertical="center" shrinkToFit="1"/>
      <protection hidden="1"/>
    </xf>
    <xf numFmtId="0" fontId="9" fillId="7" borderId="1" xfId="0" applyFont="1" applyFill="1" applyBorder="1" applyAlignment="1" applyProtection="1">
      <alignment horizontal="center" vertical="center"/>
      <protection hidden="1"/>
    </xf>
    <xf numFmtId="177" fontId="22" fillId="7" borderId="1" xfId="0" applyNumberFormat="1" applyFont="1" applyFill="1" applyBorder="1" applyAlignment="1" applyProtection="1">
      <alignment horizontal="right" vertical="center" shrinkToFit="1"/>
      <protection hidden="1"/>
    </xf>
    <xf numFmtId="177" fontId="22" fillId="7" borderId="8" xfId="0" applyNumberFormat="1" applyFont="1" applyFill="1" applyBorder="1" applyAlignment="1" applyProtection="1">
      <alignment horizontal="right" vertical="center" shrinkToFit="1"/>
      <protection hidden="1"/>
    </xf>
    <xf numFmtId="0" fontId="21" fillId="7" borderId="53" xfId="0" applyFont="1" applyFill="1" applyBorder="1" applyAlignment="1" applyProtection="1">
      <alignment horizontal="center" vertical="center"/>
      <protection hidden="1"/>
    </xf>
    <xf numFmtId="0" fontId="21" fillId="7" borderId="54" xfId="0" applyFont="1" applyFill="1" applyBorder="1" applyAlignment="1" applyProtection="1">
      <alignment horizontal="center" vertical="center"/>
      <protection hidden="1"/>
    </xf>
    <xf numFmtId="0" fontId="21" fillId="7" borderId="52" xfId="0" applyFont="1" applyFill="1" applyBorder="1" applyAlignment="1" applyProtection="1">
      <alignment horizontal="center" vertical="center"/>
      <protection hidden="1"/>
    </xf>
    <xf numFmtId="0" fontId="21" fillId="7" borderId="55" xfId="0" applyFont="1" applyFill="1" applyBorder="1" applyAlignment="1" applyProtection="1">
      <alignment horizontal="center" vertical="center"/>
      <protection hidden="1"/>
    </xf>
    <xf numFmtId="0" fontId="21" fillId="7" borderId="70" xfId="0" applyFont="1" applyFill="1" applyBorder="1" applyAlignment="1" applyProtection="1">
      <alignment horizontal="center" vertical="center"/>
      <protection hidden="1"/>
    </xf>
    <xf numFmtId="0" fontId="21" fillId="7" borderId="71" xfId="0" applyFont="1" applyFill="1" applyBorder="1" applyAlignment="1" applyProtection="1">
      <alignment horizontal="center" vertical="center"/>
      <protection hidden="1"/>
    </xf>
    <xf numFmtId="177" fontId="22" fillId="6" borderId="8" xfId="0" applyNumberFormat="1" applyFont="1" applyFill="1" applyBorder="1" applyAlignment="1" applyProtection="1">
      <alignment horizontal="right" vertical="center" shrinkToFit="1"/>
      <protection hidden="1"/>
    </xf>
    <xf numFmtId="177" fontId="22" fillId="6" borderId="9" xfId="0" applyNumberFormat="1" applyFont="1" applyFill="1" applyBorder="1" applyAlignment="1" applyProtection="1">
      <alignment horizontal="right" vertical="center" shrinkToFit="1"/>
      <protection hidden="1"/>
    </xf>
    <xf numFmtId="177" fontId="22" fillId="6" borderId="64" xfId="0" applyNumberFormat="1" applyFont="1" applyFill="1" applyBorder="1" applyAlignment="1" applyProtection="1">
      <alignment horizontal="right" vertical="center" shrinkToFit="1"/>
      <protection hidden="1"/>
    </xf>
    <xf numFmtId="0" fontId="9" fillId="0" borderId="8" xfId="0" applyFont="1" applyFill="1" applyBorder="1" applyAlignment="1" applyProtection="1">
      <alignment horizontal="center" vertical="center"/>
      <protection hidden="1"/>
    </xf>
    <xf numFmtId="0" fontId="9" fillId="0" borderId="9" xfId="0" applyFont="1" applyFill="1" applyBorder="1" applyAlignment="1" applyProtection="1">
      <alignment horizontal="center" vertical="center"/>
      <protection hidden="1"/>
    </xf>
    <xf numFmtId="177" fontId="22" fillId="12" borderId="85" xfId="0" applyNumberFormat="1" applyFont="1" applyFill="1" applyBorder="1" applyAlignment="1" applyProtection="1">
      <alignment horizontal="right" vertical="center" shrinkToFit="1"/>
      <protection hidden="1"/>
    </xf>
    <xf numFmtId="177" fontId="22" fillId="12" borderId="77" xfId="0" applyNumberFormat="1" applyFont="1" applyFill="1" applyBorder="1" applyAlignment="1" applyProtection="1">
      <alignment horizontal="right" vertical="center" shrinkToFit="1"/>
      <protection hidden="1"/>
    </xf>
    <xf numFmtId="177" fontId="22" fillId="12" borderId="8" xfId="0" applyNumberFormat="1" applyFont="1" applyFill="1" applyBorder="1" applyAlignment="1" applyProtection="1">
      <alignment horizontal="right" vertical="center" shrinkToFit="1"/>
      <protection hidden="1"/>
    </xf>
    <xf numFmtId="177" fontId="22" fillId="12" borderId="56" xfId="0" applyNumberFormat="1" applyFont="1" applyFill="1" applyBorder="1" applyAlignment="1" applyProtection="1">
      <alignment horizontal="right" vertical="center" shrinkToFit="1"/>
      <protection hidden="1"/>
    </xf>
    <xf numFmtId="0" fontId="23" fillId="3" borderId="26" xfId="0" applyFont="1" applyFill="1" applyBorder="1" applyAlignment="1" applyProtection="1">
      <alignment horizontal="center" vertical="center"/>
      <protection hidden="1"/>
    </xf>
    <xf numFmtId="0" fontId="23" fillId="3" borderId="27" xfId="0" applyFont="1" applyFill="1" applyBorder="1" applyAlignment="1" applyProtection="1">
      <alignment horizontal="center" vertical="center"/>
      <protection hidden="1"/>
    </xf>
    <xf numFmtId="0" fontId="23" fillId="3" borderId="25" xfId="0" applyFont="1" applyFill="1" applyBorder="1" applyAlignment="1" applyProtection="1">
      <alignment horizontal="center" vertical="center"/>
      <protection hidden="1"/>
    </xf>
    <xf numFmtId="0" fontId="19" fillId="0" borderId="55" xfId="0" applyFont="1" applyFill="1" applyBorder="1" applyAlignment="1" applyProtection="1">
      <alignment horizontal="center" vertical="top"/>
      <protection hidden="1"/>
    </xf>
    <xf numFmtId="0" fontId="19" fillId="0" borderId="70" xfId="0" applyFont="1" applyFill="1" applyBorder="1" applyAlignment="1" applyProtection="1">
      <alignment horizontal="center" vertical="top"/>
      <protection hidden="1"/>
    </xf>
    <xf numFmtId="0" fontId="19" fillId="0" borderId="71" xfId="0" applyFont="1" applyFill="1" applyBorder="1" applyAlignment="1" applyProtection="1">
      <alignment horizontal="center" vertical="top"/>
      <protection hidden="1"/>
    </xf>
    <xf numFmtId="0" fontId="9" fillId="6" borderId="64" xfId="0" applyFont="1" applyFill="1" applyBorder="1" applyAlignment="1" applyProtection="1">
      <alignment horizontal="center" vertical="center"/>
      <protection hidden="1"/>
    </xf>
    <xf numFmtId="0" fontId="9" fillId="6" borderId="9" xfId="0" applyFont="1" applyFill="1" applyBorder="1" applyAlignment="1" applyProtection="1">
      <alignment horizontal="center" vertical="center"/>
      <protection hidden="1"/>
    </xf>
    <xf numFmtId="0" fontId="19" fillId="8" borderId="55" xfId="0" applyFont="1" applyFill="1" applyBorder="1" applyAlignment="1" applyProtection="1">
      <alignment horizontal="center" vertical="top"/>
      <protection hidden="1"/>
    </xf>
    <xf numFmtId="0" fontId="19" fillId="8" borderId="70" xfId="0" applyFont="1" applyFill="1" applyBorder="1" applyAlignment="1" applyProtection="1">
      <alignment horizontal="center" vertical="top"/>
      <protection hidden="1"/>
    </xf>
    <xf numFmtId="0" fontId="19" fillId="8" borderId="71" xfId="0" applyFont="1" applyFill="1" applyBorder="1" applyAlignment="1" applyProtection="1">
      <alignment horizontal="center" vertical="top"/>
      <protection hidden="1"/>
    </xf>
    <xf numFmtId="0" fontId="7" fillId="12" borderId="62" xfId="0" applyFont="1" applyFill="1" applyBorder="1" applyAlignment="1" applyProtection="1">
      <alignment horizontal="center" vertical="center" textRotation="255"/>
      <protection hidden="1"/>
    </xf>
    <xf numFmtId="0" fontId="7" fillId="12" borderId="61" xfId="0" applyFont="1" applyFill="1" applyBorder="1" applyAlignment="1" applyProtection="1">
      <alignment horizontal="center" vertical="center" textRotation="255"/>
      <protection hidden="1"/>
    </xf>
    <xf numFmtId="0" fontId="7" fillId="12" borderId="63" xfId="0" applyFont="1" applyFill="1" applyBorder="1" applyAlignment="1" applyProtection="1">
      <alignment horizontal="center" vertical="center" textRotation="255"/>
      <protection hidden="1"/>
    </xf>
    <xf numFmtId="0" fontId="9" fillId="12" borderId="53" xfId="0" applyFont="1" applyFill="1" applyBorder="1" applyAlignment="1" applyProtection="1">
      <alignment horizontal="distributed" indent="1"/>
      <protection hidden="1"/>
    </xf>
    <xf numFmtId="0" fontId="9" fillId="12" borderId="54" xfId="0" applyFont="1" applyFill="1" applyBorder="1" applyAlignment="1" applyProtection="1">
      <alignment horizontal="distributed" indent="1"/>
      <protection hidden="1"/>
    </xf>
    <xf numFmtId="0" fontId="9" fillId="12" borderId="52" xfId="0" applyFont="1" applyFill="1" applyBorder="1" applyAlignment="1" applyProtection="1">
      <alignment horizontal="distributed" indent="1"/>
      <protection hidden="1"/>
    </xf>
    <xf numFmtId="0" fontId="7" fillId="6" borderId="65" xfId="0" applyFont="1" applyFill="1" applyBorder="1" applyAlignment="1" applyProtection="1">
      <alignment horizontal="distributed" indent="1"/>
      <protection hidden="1"/>
    </xf>
    <xf numFmtId="0" fontId="7" fillId="6" borderId="66" xfId="0" applyFont="1" applyFill="1" applyBorder="1" applyAlignment="1" applyProtection="1">
      <alignment horizontal="distributed" indent="1"/>
      <protection hidden="1"/>
    </xf>
    <xf numFmtId="0" fontId="7" fillId="6" borderId="67" xfId="0" applyFont="1" applyFill="1" applyBorder="1" applyAlignment="1" applyProtection="1">
      <alignment horizontal="distributed" indent="1"/>
      <protection hidden="1"/>
    </xf>
    <xf numFmtId="0" fontId="7" fillId="6" borderId="53" xfId="0" applyFont="1" applyFill="1" applyBorder="1" applyAlignment="1" applyProtection="1">
      <alignment horizontal="center" vertical="center"/>
      <protection hidden="1"/>
    </xf>
    <xf numFmtId="0" fontId="7" fillId="6" borderId="54" xfId="0" applyFont="1" applyFill="1" applyBorder="1" applyAlignment="1" applyProtection="1">
      <alignment horizontal="center" vertical="center"/>
      <protection hidden="1"/>
    </xf>
    <xf numFmtId="0" fontId="7" fillId="6" borderId="52" xfId="0" applyFont="1" applyFill="1" applyBorder="1" applyAlignment="1" applyProtection="1">
      <alignment horizontal="center" vertical="center"/>
      <protection hidden="1"/>
    </xf>
    <xf numFmtId="0" fontId="7" fillId="6" borderId="55" xfId="0" applyFont="1" applyFill="1" applyBorder="1" applyAlignment="1" applyProtection="1">
      <alignment horizontal="center" vertical="center"/>
      <protection hidden="1"/>
    </xf>
    <xf numFmtId="0" fontId="7" fillId="6" borderId="70" xfId="0" applyFont="1" applyFill="1" applyBorder="1" applyAlignment="1" applyProtection="1">
      <alignment horizontal="center" vertical="center"/>
      <protection hidden="1"/>
    </xf>
    <xf numFmtId="0" fontId="7" fillId="6" borderId="71" xfId="0" applyFont="1" applyFill="1" applyBorder="1" applyAlignment="1" applyProtection="1">
      <alignment horizontal="center" vertical="center"/>
      <protection hidden="1"/>
    </xf>
    <xf numFmtId="0" fontId="0" fillId="0" borderId="27" xfId="0" applyBorder="1" applyAlignment="1">
      <alignment horizontal="center"/>
    </xf>
    <xf numFmtId="0" fontId="0" fillId="0" borderId="28"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 xfId="0" applyFont="1" applyBorder="1" applyAlignment="1">
      <alignment horizontal="center"/>
    </xf>
    <xf numFmtId="0" fontId="23" fillId="0" borderId="1" xfId="0" applyFont="1" applyBorder="1" applyAlignment="1">
      <alignment horizontal="center"/>
    </xf>
    <xf numFmtId="0" fontId="0" fillId="0" borderId="25" xfId="0" applyBorder="1" applyAlignment="1">
      <alignment horizontal="center"/>
    </xf>
  </cellXfs>
  <cellStyles count="3">
    <cellStyle name="パーセント" xfId="2" builtinId="5"/>
    <cellStyle name="桁区切り" xfId="1" builtinId="6"/>
    <cellStyle name="標準" xfId="0" builtinId="0"/>
  </cellStyles>
  <dxfs count="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35336;&#31639;&#20869;&#35379;!A1"/><Relationship Id="rId2" Type="http://schemas.openxmlformats.org/officeDocument/2006/relationships/hyperlink" Target="#&#30906;&#23450;&#30003;&#21578;&#26360;B!A1"/><Relationship Id="rId1" Type="http://schemas.openxmlformats.org/officeDocument/2006/relationships/hyperlink" Target="#&#28304;&#27849;&#24500;&#21454;&#31080;!A1"/></Relationships>
</file>

<file path=xl/drawings/_rels/drawing2.xml.rels><?xml version="1.0" encoding="UTF-8" standalone="yes"?>
<Relationships xmlns="http://schemas.openxmlformats.org/package/2006/relationships"><Relationship Id="rId1" Type="http://schemas.openxmlformats.org/officeDocument/2006/relationships/hyperlink" Target="#&#35336;&#31639;&#12471;&#12540;&#12488;!I32"/></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5336;&#31639;&#12471;&#12540;&#12488;!O23"/></Relationships>
</file>

<file path=xl/drawings/_rels/drawing4.xml.rels><?xml version="1.0" encoding="UTF-8" standalone="yes"?>
<Relationships xmlns="http://schemas.openxmlformats.org/package/2006/relationships"><Relationship Id="rId2" Type="http://schemas.openxmlformats.org/officeDocument/2006/relationships/hyperlink" Target="#&#35336;&#31639;&#12471;&#12540;&#12488;!O23"/><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571501</xdr:colOff>
      <xdr:row>24</xdr:row>
      <xdr:rowOff>104775</xdr:rowOff>
    </xdr:from>
    <xdr:to>
      <xdr:col>8</xdr:col>
      <xdr:colOff>133351</xdr:colOff>
      <xdr:row>25</xdr:row>
      <xdr:rowOff>152400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381376" y="6057900"/>
          <a:ext cx="952500" cy="285750"/>
        </a:xfrm>
        <a:prstGeom prst="downArrow">
          <a:avLst>
            <a:gd name="adj1" fmla="val 49216"/>
            <a:gd name="adj2" fmla="val 6162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180974</xdr:colOff>
      <xdr:row>25</xdr:row>
      <xdr:rowOff>19049</xdr:rowOff>
    </xdr:from>
    <xdr:to>
      <xdr:col>17</xdr:col>
      <xdr:colOff>33374</xdr:colOff>
      <xdr:row>27</xdr:row>
      <xdr:rowOff>180974</xdr:rowOff>
    </xdr:to>
    <xdr:sp macro="" textlink="">
      <xdr:nvSpPr>
        <xdr:cNvPr id="3" name="額縁 2">
          <a:hlinkClick xmlns:r="http://schemas.openxmlformats.org/officeDocument/2006/relationships" r:id="rId1" tooltip="源泉徴収票の図解を表示します"/>
          <a:extLst>
            <a:ext uri="{FF2B5EF4-FFF2-40B4-BE49-F238E27FC236}">
              <a16:creationId xmlns:a16="http://schemas.microsoft.com/office/drawing/2014/main" id="{00000000-0008-0000-0000-000003000000}"/>
            </a:ext>
          </a:extLst>
        </xdr:cNvPr>
        <xdr:cNvSpPr/>
      </xdr:nvSpPr>
      <xdr:spPr>
        <a:xfrm>
          <a:off x="8267699" y="5257799"/>
          <a:ext cx="1224000" cy="638175"/>
        </a:xfrm>
        <a:prstGeom prst="bevel">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u="sng">
              <a:solidFill>
                <a:srgbClr val="0070C0"/>
              </a:solidFill>
            </a:rPr>
            <a:t>源泉徴収票をお持ちの方</a:t>
          </a:r>
          <a:endParaRPr kumimoji="1" lang="en-US" altLang="ja-JP" sz="1100" u="sng">
            <a:solidFill>
              <a:srgbClr val="0070C0"/>
            </a:solidFill>
          </a:endParaRPr>
        </a:p>
      </xdr:txBody>
    </xdr:sp>
    <xdr:clientData/>
  </xdr:twoCellAnchor>
  <xdr:twoCellAnchor>
    <xdr:from>
      <xdr:col>17</xdr:col>
      <xdr:colOff>428624</xdr:colOff>
      <xdr:row>25</xdr:row>
      <xdr:rowOff>19050</xdr:rowOff>
    </xdr:from>
    <xdr:to>
      <xdr:col>19</xdr:col>
      <xdr:colOff>281024</xdr:colOff>
      <xdr:row>27</xdr:row>
      <xdr:rowOff>180975</xdr:rowOff>
    </xdr:to>
    <xdr:sp macro="" textlink="">
      <xdr:nvSpPr>
        <xdr:cNvPr id="7" name="額縁 6">
          <a:hlinkClick xmlns:r="http://schemas.openxmlformats.org/officeDocument/2006/relationships" r:id="rId2" tooltip="確定申告書Bの図解を表示します"/>
          <a:extLst>
            <a:ext uri="{FF2B5EF4-FFF2-40B4-BE49-F238E27FC236}">
              <a16:creationId xmlns:a16="http://schemas.microsoft.com/office/drawing/2014/main" id="{00000000-0008-0000-0000-000007000000}"/>
            </a:ext>
          </a:extLst>
        </xdr:cNvPr>
        <xdr:cNvSpPr/>
      </xdr:nvSpPr>
      <xdr:spPr>
        <a:xfrm>
          <a:off x="10001249" y="6000750"/>
          <a:ext cx="1224000" cy="638175"/>
        </a:xfrm>
        <a:prstGeom prst="bevel">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u="sng">
              <a:solidFill>
                <a:srgbClr val="0070C0"/>
              </a:solidFill>
            </a:rPr>
            <a:t>確定申告書</a:t>
          </a:r>
          <a:r>
            <a:rPr kumimoji="1" lang="en-US" altLang="ja-JP" sz="1100" u="sng">
              <a:solidFill>
                <a:srgbClr val="0070C0"/>
              </a:solidFill>
            </a:rPr>
            <a:t>B</a:t>
          </a:r>
        </a:p>
        <a:p>
          <a:pPr algn="ctr"/>
          <a:r>
            <a:rPr kumimoji="1" lang="ja-JP" altLang="en-US" sz="1100" u="sng">
              <a:solidFill>
                <a:srgbClr val="0070C0"/>
              </a:solidFill>
            </a:rPr>
            <a:t>をお持ちの方</a:t>
          </a:r>
          <a:endParaRPr kumimoji="1" lang="en-US" altLang="ja-JP" sz="1100" u="sng">
            <a:solidFill>
              <a:srgbClr val="0070C0"/>
            </a:solidFill>
          </a:endParaRPr>
        </a:p>
      </xdr:txBody>
    </xdr:sp>
    <xdr:clientData/>
  </xdr:twoCellAnchor>
  <xdr:twoCellAnchor>
    <xdr:from>
      <xdr:col>11</xdr:col>
      <xdr:colOff>104775</xdr:colOff>
      <xdr:row>30</xdr:row>
      <xdr:rowOff>66675</xdr:rowOff>
    </xdr:from>
    <xdr:to>
      <xdr:col>12</xdr:col>
      <xdr:colOff>642975</xdr:colOff>
      <xdr:row>33</xdr:row>
      <xdr:rowOff>228600</xdr:rowOff>
    </xdr:to>
    <xdr:sp macro="" textlink="">
      <xdr:nvSpPr>
        <xdr:cNvPr id="6" name="額縁 5">
          <a:hlinkClick xmlns:r="http://schemas.openxmlformats.org/officeDocument/2006/relationships" r:id="rId3" tooltip="計算内訳を表示します"/>
          <a:extLst>
            <a:ext uri="{FF2B5EF4-FFF2-40B4-BE49-F238E27FC236}">
              <a16:creationId xmlns:a16="http://schemas.microsoft.com/office/drawing/2014/main" id="{00000000-0008-0000-0000-000006000000}"/>
            </a:ext>
          </a:extLst>
        </xdr:cNvPr>
        <xdr:cNvSpPr/>
      </xdr:nvSpPr>
      <xdr:spPr>
        <a:xfrm>
          <a:off x="6343650" y="7239000"/>
          <a:ext cx="1224000" cy="876300"/>
        </a:xfrm>
        <a:prstGeom prst="bevel">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u="sng">
              <a:solidFill>
                <a:srgbClr val="0070C0"/>
              </a:solidFill>
            </a:rPr>
            <a:t>計算の内訳はこちら</a:t>
          </a:r>
          <a:endParaRPr kumimoji="1" lang="en-US" altLang="ja-JP" sz="1100" u="sng">
            <a:solidFill>
              <a:srgbClr val="0070C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0</xdr:rowOff>
    </xdr:from>
    <xdr:to>
      <xdr:col>14</xdr:col>
      <xdr:colOff>361950</xdr:colOff>
      <xdr:row>2</xdr:row>
      <xdr:rowOff>76200</xdr:rowOff>
    </xdr:to>
    <xdr:sp macro="" textlink="">
      <xdr:nvSpPr>
        <xdr:cNvPr id="2" name="額縁 1">
          <a:hlinkClick xmlns:r="http://schemas.openxmlformats.org/officeDocument/2006/relationships" r:id="rId1" tooltip="戻る"/>
          <a:extLst>
            <a:ext uri="{FF2B5EF4-FFF2-40B4-BE49-F238E27FC236}">
              <a16:creationId xmlns:a16="http://schemas.microsoft.com/office/drawing/2014/main" id="{00000000-0008-0000-0100-000002000000}"/>
            </a:ext>
          </a:extLst>
        </xdr:cNvPr>
        <xdr:cNvSpPr/>
      </xdr:nvSpPr>
      <xdr:spPr>
        <a:xfrm>
          <a:off x="6391275" y="0"/>
          <a:ext cx="1047750" cy="609600"/>
        </a:xfrm>
        <a:prstGeom prst="bevel">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u="sng">
              <a:solidFill>
                <a:srgbClr val="0070C0"/>
              </a:solidFill>
            </a:rPr>
            <a:t>計算シート</a:t>
          </a:r>
          <a:endParaRPr kumimoji="1" lang="en-US" altLang="ja-JP" sz="1100" u="sng">
            <a:solidFill>
              <a:srgbClr val="0070C0"/>
            </a:solidFill>
          </a:endParaRPr>
        </a:p>
        <a:p>
          <a:pPr algn="ctr"/>
          <a:r>
            <a:rPr kumimoji="1" lang="ja-JP" altLang="en-US" sz="1100" u="sng">
              <a:solidFill>
                <a:srgbClr val="0070C0"/>
              </a:solidFill>
            </a:rPr>
            <a:t>に戻る</a:t>
          </a:r>
          <a:endParaRPr kumimoji="1" lang="en-US" altLang="ja-JP" sz="1100" u="sng">
            <a:solidFill>
              <a:srgbClr val="0070C0"/>
            </a:solidFill>
          </a:endParaRPr>
        </a:p>
      </xdr:txBody>
    </xdr:sp>
    <xdr:clientData fPrintsWithSheet="0"/>
  </xdr:twoCellAnchor>
  <xdr:twoCellAnchor>
    <xdr:from>
      <xdr:col>13</xdr:col>
      <xdr:colOff>0</xdr:colOff>
      <xdr:row>46</xdr:row>
      <xdr:rowOff>0</xdr:rowOff>
    </xdr:from>
    <xdr:to>
      <xdr:col>14</xdr:col>
      <xdr:colOff>361950</xdr:colOff>
      <xdr:row>48</xdr:row>
      <xdr:rowOff>133350</xdr:rowOff>
    </xdr:to>
    <xdr:sp macro="" textlink="">
      <xdr:nvSpPr>
        <xdr:cNvPr id="5" name="額縁 4">
          <a:hlinkClick xmlns:r="http://schemas.openxmlformats.org/officeDocument/2006/relationships" r:id="rId1" tooltip="戻る"/>
          <a:extLst>
            <a:ext uri="{FF2B5EF4-FFF2-40B4-BE49-F238E27FC236}">
              <a16:creationId xmlns:a16="http://schemas.microsoft.com/office/drawing/2014/main" id="{00000000-0008-0000-0100-000005000000}"/>
            </a:ext>
          </a:extLst>
        </xdr:cNvPr>
        <xdr:cNvSpPr/>
      </xdr:nvSpPr>
      <xdr:spPr>
        <a:xfrm>
          <a:off x="6734175" y="7705725"/>
          <a:ext cx="1047750" cy="609600"/>
        </a:xfrm>
        <a:prstGeom prst="bevel">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u="sng">
              <a:solidFill>
                <a:srgbClr val="0070C0"/>
              </a:solidFill>
            </a:rPr>
            <a:t>計算シート</a:t>
          </a:r>
          <a:endParaRPr kumimoji="1" lang="en-US" altLang="ja-JP" sz="1100" u="sng">
            <a:solidFill>
              <a:srgbClr val="0070C0"/>
            </a:solidFill>
          </a:endParaRPr>
        </a:p>
        <a:p>
          <a:pPr algn="ctr"/>
          <a:r>
            <a:rPr kumimoji="1" lang="ja-JP" altLang="en-US" sz="1100" u="sng">
              <a:solidFill>
                <a:srgbClr val="0070C0"/>
              </a:solidFill>
            </a:rPr>
            <a:t>に戻る</a:t>
          </a:r>
          <a:endParaRPr kumimoji="1" lang="en-US" altLang="ja-JP" sz="1100" u="sng">
            <a:solidFill>
              <a:srgbClr val="0070C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19051</xdr:colOff>
      <xdr:row>0</xdr:row>
      <xdr:rowOff>19050</xdr:rowOff>
    </xdr:from>
    <xdr:to>
      <xdr:col>13</xdr:col>
      <xdr:colOff>381001</xdr:colOff>
      <xdr:row>3</xdr:row>
      <xdr:rowOff>142875</xdr:rowOff>
    </xdr:to>
    <xdr:sp macro="" textlink="">
      <xdr:nvSpPr>
        <xdr:cNvPr id="4" name="額縁 3">
          <a:hlinkClick xmlns:r="http://schemas.openxmlformats.org/officeDocument/2006/relationships" r:id="rId1" tooltip="戻る"/>
          <a:extLst>
            <a:ext uri="{FF2B5EF4-FFF2-40B4-BE49-F238E27FC236}">
              <a16:creationId xmlns:a16="http://schemas.microsoft.com/office/drawing/2014/main" id="{00000000-0008-0000-0300-000004000000}"/>
            </a:ext>
          </a:extLst>
        </xdr:cNvPr>
        <xdr:cNvSpPr/>
      </xdr:nvSpPr>
      <xdr:spPr>
        <a:xfrm>
          <a:off x="8048626" y="19050"/>
          <a:ext cx="1047750" cy="638175"/>
        </a:xfrm>
        <a:prstGeom prst="bevel">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u="sng">
              <a:solidFill>
                <a:srgbClr val="0070C0"/>
              </a:solidFill>
            </a:rPr>
            <a:t>計算シート</a:t>
          </a:r>
          <a:endParaRPr kumimoji="1" lang="en-US" altLang="ja-JP" sz="1100" u="sng">
            <a:solidFill>
              <a:srgbClr val="0070C0"/>
            </a:solidFill>
          </a:endParaRPr>
        </a:p>
        <a:p>
          <a:pPr algn="ctr"/>
          <a:r>
            <a:rPr kumimoji="1" lang="ja-JP" altLang="en-US" sz="1100" u="sng">
              <a:solidFill>
                <a:srgbClr val="0070C0"/>
              </a:solidFill>
            </a:rPr>
            <a:t>に戻る</a:t>
          </a:r>
          <a:endParaRPr kumimoji="1" lang="en-US" altLang="ja-JP" sz="1100" u="sng">
            <a:solidFill>
              <a:srgbClr val="0070C0"/>
            </a:solidFill>
          </a:endParaRPr>
        </a:p>
      </xdr:txBody>
    </xdr:sp>
    <xdr:clientData/>
  </xdr:twoCellAnchor>
  <xdr:twoCellAnchor editAs="oneCell">
    <xdr:from>
      <xdr:col>0</xdr:col>
      <xdr:colOff>38100</xdr:colOff>
      <xdr:row>0</xdr:row>
      <xdr:rowOff>47625</xdr:rowOff>
    </xdr:from>
    <xdr:to>
      <xdr:col>11</xdr:col>
      <xdr:colOff>657225</xdr:colOff>
      <xdr:row>21</xdr:row>
      <xdr:rowOff>117635</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stretch>
          <a:fillRect/>
        </a:stretch>
      </xdr:blipFill>
      <xdr:spPr>
        <a:xfrm>
          <a:off x="38100" y="47625"/>
          <a:ext cx="7962900" cy="3670460"/>
        </a:xfrm>
        <a:prstGeom prst="rect">
          <a:avLst/>
        </a:prstGeom>
      </xdr:spPr>
    </xdr:pic>
    <xdr:clientData/>
  </xdr:twoCellAnchor>
  <xdr:twoCellAnchor>
    <xdr:from>
      <xdr:col>3</xdr:col>
      <xdr:colOff>495299</xdr:colOff>
      <xdr:row>1</xdr:row>
      <xdr:rowOff>123825</xdr:rowOff>
    </xdr:from>
    <xdr:to>
      <xdr:col>4</xdr:col>
      <xdr:colOff>171450</xdr:colOff>
      <xdr:row>3</xdr:row>
      <xdr:rowOff>104775</xdr:rowOff>
    </xdr:to>
    <xdr:sp macro="" textlink="">
      <xdr:nvSpPr>
        <xdr:cNvPr id="5" name="正方形/長方形 4">
          <a:extLst>
            <a:ext uri="{FF2B5EF4-FFF2-40B4-BE49-F238E27FC236}">
              <a16:creationId xmlns:a16="http://schemas.microsoft.com/office/drawing/2014/main" id="{B645B522-2018-40CA-9AEC-1FCC69AD41A6}"/>
            </a:ext>
          </a:extLst>
        </xdr:cNvPr>
        <xdr:cNvSpPr/>
      </xdr:nvSpPr>
      <xdr:spPr>
        <a:xfrm>
          <a:off x="2552699" y="295275"/>
          <a:ext cx="361951"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rPr>
            <a:t>７</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485775</xdr:colOff>
      <xdr:row>0</xdr:row>
      <xdr:rowOff>114300</xdr:rowOff>
    </xdr:from>
    <xdr:to>
      <xdr:col>9</xdr:col>
      <xdr:colOff>304800</xdr:colOff>
      <xdr:row>45</xdr:row>
      <xdr:rowOff>93044</xdr:rowOff>
    </xdr:to>
    <xdr:pic>
      <xdr:nvPicPr>
        <xdr:cNvPr id="10" name="図 9">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114300"/>
          <a:ext cx="5991225" cy="7693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171450</xdr:colOff>
      <xdr:row>18</xdr:row>
      <xdr:rowOff>123825</xdr:rowOff>
    </xdr:from>
    <xdr:to>
      <xdr:col>6</xdr:col>
      <xdr:colOff>142875</xdr:colOff>
      <xdr:row>20</xdr:row>
      <xdr:rowOff>57151</xdr:rowOff>
    </xdr:to>
    <xdr:sp macro="" textlink="">
      <xdr:nvSpPr>
        <xdr:cNvPr id="6" name="角丸四角形 5">
          <a:extLst>
            <a:ext uri="{FF2B5EF4-FFF2-40B4-BE49-F238E27FC236}">
              <a16:creationId xmlns:a16="http://schemas.microsoft.com/office/drawing/2014/main" id="{00000000-0008-0000-0500-000006000000}"/>
            </a:ext>
          </a:extLst>
        </xdr:cNvPr>
        <xdr:cNvSpPr/>
      </xdr:nvSpPr>
      <xdr:spPr>
        <a:xfrm>
          <a:off x="857250" y="3209925"/>
          <a:ext cx="3400425" cy="2762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428625</xdr:colOff>
      <xdr:row>20</xdr:row>
      <xdr:rowOff>28574</xdr:rowOff>
    </xdr:from>
    <xdr:to>
      <xdr:col>6</xdr:col>
      <xdr:colOff>152400</xdr:colOff>
      <xdr:row>21</xdr:row>
      <xdr:rowOff>133350</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1114425" y="3457574"/>
          <a:ext cx="3152775" cy="276226"/>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0</xdr:row>
      <xdr:rowOff>0</xdr:rowOff>
    </xdr:from>
    <xdr:to>
      <xdr:col>11</xdr:col>
      <xdr:colOff>371475</xdr:colOff>
      <xdr:row>3</xdr:row>
      <xdr:rowOff>123825</xdr:rowOff>
    </xdr:to>
    <xdr:sp macro="" textlink="">
      <xdr:nvSpPr>
        <xdr:cNvPr id="11" name="額縁 10">
          <a:hlinkClick xmlns:r="http://schemas.openxmlformats.org/officeDocument/2006/relationships" r:id="rId2" tooltip="戻る"/>
          <a:extLst>
            <a:ext uri="{FF2B5EF4-FFF2-40B4-BE49-F238E27FC236}">
              <a16:creationId xmlns:a16="http://schemas.microsoft.com/office/drawing/2014/main" id="{00000000-0008-0000-0500-00000B000000}"/>
            </a:ext>
          </a:extLst>
        </xdr:cNvPr>
        <xdr:cNvSpPr/>
      </xdr:nvSpPr>
      <xdr:spPr>
        <a:xfrm>
          <a:off x="7000875" y="0"/>
          <a:ext cx="1047750" cy="638175"/>
        </a:xfrm>
        <a:prstGeom prst="bevel">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u="sng">
              <a:solidFill>
                <a:srgbClr val="0070C0"/>
              </a:solidFill>
            </a:rPr>
            <a:t>計算シート</a:t>
          </a:r>
          <a:endParaRPr kumimoji="1" lang="en-US" altLang="ja-JP" sz="1100" u="sng">
            <a:solidFill>
              <a:srgbClr val="0070C0"/>
            </a:solidFill>
          </a:endParaRPr>
        </a:p>
        <a:p>
          <a:pPr algn="ctr"/>
          <a:r>
            <a:rPr kumimoji="1" lang="ja-JP" altLang="en-US" sz="1100" u="sng">
              <a:solidFill>
                <a:srgbClr val="0070C0"/>
              </a:solidFill>
            </a:rPr>
            <a:t>に戻る</a:t>
          </a:r>
          <a:endParaRPr kumimoji="1" lang="en-US" altLang="ja-JP" sz="1100" u="sng">
            <a:solidFill>
              <a:srgbClr val="0070C0"/>
            </a:solidFill>
          </a:endParaRPr>
        </a:p>
      </xdr:txBody>
    </xdr:sp>
    <xdr:clientData/>
  </xdr:twoCellAnchor>
  <xdr:twoCellAnchor>
    <xdr:from>
      <xdr:col>10</xdr:col>
      <xdr:colOff>9525</xdr:colOff>
      <xdr:row>34</xdr:row>
      <xdr:rowOff>9525</xdr:rowOff>
    </xdr:from>
    <xdr:to>
      <xdr:col>11</xdr:col>
      <xdr:colOff>371475</xdr:colOff>
      <xdr:row>37</xdr:row>
      <xdr:rowOff>133350</xdr:rowOff>
    </xdr:to>
    <xdr:sp macro="" textlink="">
      <xdr:nvSpPr>
        <xdr:cNvPr id="12" name="額縁 11">
          <a:hlinkClick xmlns:r="http://schemas.openxmlformats.org/officeDocument/2006/relationships" r:id="rId2" tooltip="戻る"/>
          <a:extLst>
            <a:ext uri="{FF2B5EF4-FFF2-40B4-BE49-F238E27FC236}">
              <a16:creationId xmlns:a16="http://schemas.microsoft.com/office/drawing/2014/main" id="{00000000-0008-0000-0500-00000C000000}"/>
            </a:ext>
          </a:extLst>
        </xdr:cNvPr>
        <xdr:cNvSpPr/>
      </xdr:nvSpPr>
      <xdr:spPr>
        <a:xfrm>
          <a:off x="7000875" y="5838825"/>
          <a:ext cx="1047750" cy="638175"/>
        </a:xfrm>
        <a:prstGeom prst="bevel">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u="sng">
              <a:solidFill>
                <a:srgbClr val="0070C0"/>
              </a:solidFill>
            </a:rPr>
            <a:t>計算シート</a:t>
          </a:r>
          <a:endParaRPr kumimoji="1" lang="en-US" altLang="ja-JP" sz="1100" u="sng">
            <a:solidFill>
              <a:srgbClr val="0070C0"/>
            </a:solidFill>
          </a:endParaRPr>
        </a:p>
        <a:p>
          <a:pPr algn="ctr"/>
          <a:r>
            <a:rPr kumimoji="1" lang="ja-JP" altLang="en-US" sz="1100" u="sng">
              <a:solidFill>
                <a:srgbClr val="0070C0"/>
              </a:solidFill>
            </a:rPr>
            <a:t>に戻る</a:t>
          </a:r>
          <a:endParaRPr kumimoji="1" lang="en-US" altLang="ja-JP" sz="1100" u="sng">
            <a:solidFill>
              <a:srgbClr val="0070C0"/>
            </a:solidFill>
          </a:endParaRPr>
        </a:p>
      </xdr:txBody>
    </xdr:sp>
    <xdr:clientData/>
  </xdr:twoCellAnchor>
  <xdr:twoCellAnchor>
    <xdr:from>
      <xdr:col>3</xdr:col>
      <xdr:colOff>485774</xdr:colOff>
      <xdr:row>1</xdr:row>
      <xdr:rowOff>19050</xdr:rowOff>
    </xdr:from>
    <xdr:to>
      <xdr:col>4</xdr:col>
      <xdr:colOff>371475</xdr:colOff>
      <xdr:row>3</xdr:row>
      <xdr:rowOff>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543174" y="190500"/>
          <a:ext cx="571501"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0">
              <a:solidFill>
                <a:sysClr val="windowText" lastClr="000000"/>
              </a:solidFill>
            </a:rPr>
            <a:t>   </a:t>
          </a:r>
          <a:r>
            <a:rPr kumimoji="1" lang="ja-JP" altLang="en-US" sz="1600" b="0">
              <a:solidFill>
                <a:sysClr val="windowText" lastClr="000000"/>
              </a:solidFill>
            </a:rPr>
            <a:t>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1"/>
  <sheetViews>
    <sheetView showGridLines="0" tabSelected="1" zoomScale="85" zoomScaleNormal="85" zoomScaleSheetLayoutView="100" workbookViewId="0">
      <selection activeCell="D9" sqref="D9:E9"/>
    </sheetView>
  </sheetViews>
  <sheetFormatPr defaultRowHeight="18.75" customHeight="1"/>
  <cols>
    <col min="1" max="1" width="3.5" style="37" customWidth="1"/>
    <col min="2" max="2" width="4.75" style="37" customWidth="1"/>
    <col min="3" max="3" width="0.25" style="37" customWidth="1"/>
    <col min="4" max="4" width="10.125" style="37" bestFit="1" customWidth="1"/>
    <col min="5" max="5" width="9" style="37"/>
    <col min="6" max="6" width="9.5" style="37" bestFit="1" customWidth="1"/>
    <col min="7" max="8" width="9.25" style="37" bestFit="1" customWidth="1"/>
    <col min="9" max="10" width="9" style="37"/>
    <col min="11" max="11" width="8.25" style="37" customWidth="1"/>
    <col min="12" max="12" width="9" style="37"/>
    <col min="13" max="13" width="10.25" style="37" customWidth="1"/>
    <col min="14" max="14" width="3.5" style="37" customWidth="1"/>
    <col min="15" max="15" width="3" style="37" customWidth="1"/>
    <col min="16" max="21" width="9" style="37"/>
    <col min="22" max="22" width="9.375" style="37" customWidth="1"/>
    <col min="23" max="16384" width="9" style="37"/>
  </cols>
  <sheetData>
    <row r="1" spans="1:22" ht="21" customHeight="1" thickBot="1">
      <c r="A1" s="40"/>
      <c r="B1" s="40"/>
      <c r="C1" s="40"/>
      <c r="D1" s="40"/>
      <c r="E1" s="40"/>
      <c r="F1" s="40"/>
      <c r="G1" s="40"/>
      <c r="H1" s="40"/>
      <c r="I1" s="40"/>
      <c r="J1" s="40"/>
      <c r="K1" s="40"/>
      <c r="L1" s="40"/>
      <c r="M1" s="40"/>
      <c r="N1" s="40"/>
    </row>
    <row r="2" spans="1:22" ht="18.75" customHeight="1" thickBot="1">
      <c r="A2" s="40"/>
      <c r="B2" s="181" t="s">
        <v>171</v>
      </c>
      <c r="C2" s="182"/>
      <c r="D2" s="182"/>
      <c r="E2" s="182"/>
      <c r="F2" s="182"/>
      <c r="G2" s="182"/>
      <c r="H2" s="182"/>
      <c r="I2" s="182"/>
      <c r="J2" s="182"/>
      <c r="K2" s="182"/>
      <c r="L2" s="182"/>
      <c r="M2" s="183"/>
      <c r="N2" s="40"/>
    </row>
    <row r="3" spans="1:22" ht="18.75" customHeight="1" thickTop="1" thickBot="1">
      <c r="A3" s="40"/>
      <c r="B3" s="133"/>
      <c r="C3" s="38"/>
      <c r="D3" s="38"/>
      <c r="E3" s="38"/>
      <c r="F3" s="38"/>
      <c r="G3" s="38"/>
      <c r="H3" s="38"/>
      <c r="I3" s="38"/>
      <c r="J3" s="38"/>
      <c r="K3" s="38"/>
      <c r="L3" s="114" t="s">
        <v>154</v>
      </c>
      <c r="M3" s="134">
        <f ca="1">TODAY()</f>
        <v>46106</v>
      </c>
      <c r="N3" s="40"/>
      <c r="P3" s="45" t="s">
        <v>56</v>
      </c>
      <c r="Q3" s="46"/>
      <c r="R3" s="47"/>
      <c r="S3" s="47"/>
      <c r="T3" s="47"/>
      <c r="U3" s="47"/>
      <c r="V3" s="48"/>
    </row>
    <row r="4" spans="1:22" ht="18.75" customHeight="1" thickTop="1" thickBot="1">
      <c r="A4" s="40"/>
      <c r="B4" s="133"/>
      <c r="C4" s="38"/>
      <c r="D4" s="104" t="s">
        <v>153</v>
      </c>
      <c r="E4" s="105"/>
      <c r="F4" s="105"/>
      <c r="G4" s="105"/>
      <c r="H4" s="105"/>
      <c r="I4" s="105"/>
      <c r="J4" s="105"/>
      <c r="K4" s="105"/>
      <c r="L4" s="106"/>
      <c r="M4" s="133"/>
      <c r="N4" s="40"/>
      <c r="P4" s="199" t="s">
        <v>157</v>
      </c>
      <c r="Q4" s="200"/>
      <c r="R4" s="200"/>
      <c r="S4" s="200"/>
      <c r="T4" s="200"/>
      <c r="U4" s="200"/>
      <c r="V4" s="201"/>
    </row>
    <row r="5" spans="1:22" ht="18.75" customHeight="1" thickBot="1">
      <c r="A5" s="40"/>
      <c r="B5" s="133"/>
      <c r="C5" s="38"/>
      <c r="D5" s="107" t="s">
        <v>72</v>
      </c>
      <c r="E5" s="108"/>
      <c r="F5" s="43"/>
      <c r="G5" s="109" t="s">
        <v>73</v>
      </c>
      <c r="H5" s="108"/>
      <c r="I5" s="108"/>
      <c r="J5" s="108"/>
      <c r="K5" s="108"/>
      <c r="L5" s="110"/>
      <c r="M5" s="133"/>
      <c r="N5" s="40"/>
      <c r="P5" s="199"/>
      <c r="Q5" s="200"/>
      <c r="R5" s="200"/>
      <c r="S5" s="200"/>
      <c r="T5" s="200"/>
      <c r="U5" s="200"/>
      <c r="V5" s="201"/>
    </row>
    <row r="6" spans="1:22" ht="18.75" customHeight="1" thickBot="1">
      <c r="A6" s="40"/>
      <c r="B6" s="133"/>
      <c r="C6" s="38"/>
      <c r="D6" s="111" t="s">
        <v>105</v>
      </c>
      <c r="E6" s="112"/>
      <c r="F6" s="112"/>
      <c r="G6" s="112"/>
      <c r="H6" s="112"/>
      <c r="I6" s="112"/>
      <c r="J6" s="112"/>
      <c r="K6" s="112"/>
      <c r="L6" s="113"/>
      <c r="M6" s="80"/>
      <c r="N6" s="40"/>
      <c r="P6" s="199" t="s">
        <v>152</v>
      </c>
      <c r="Q6" s="200"/>
      <c r="R6" s="200"/>
      <c r="S6" s="200"/>
      <c r="T6" s="200"/>
      <c r="U6" s="200"/>
      <c r="V6" s="201"/>
    </row>
    <row r="7" spans="1:22" ht="18.75" customHeight="1" thickTop="1">
      <c r="A7" s="40"/>
      <c r="B7" s="80"/>
      <c r="C7" s="80"/>
      <c r="D7" s="93"/>
      <c r="E7" s="131"/>
      <c r="F7" s="93"/>
      <c r="G7" s="93"/>
      <c r="H7" s="80"/>
      <c r="I7" s="80"/>
      <c r="J7" s="80"/>
      <c r="K7" s="80"/>
      <c r="L7" s="80"/>
      <c r="M7" s="80"/>
      <c r="N7" s="40"/>
      <c r="P7" s="199"/>
      <c r="Q7" s="200"/>
      <c r="R7" s="200"/>
      <c r="S7" s="200"/>
      <c r="T7" s="200"/>
      <c r="U7" s="200"/>
      <c r="V7" s="201"/>
    </row>
    <row r="8" spans="1:22" ht="18.75" customHeight="1" thickBot="1">
      <c r="A8" s="40"/>
      <c r="B8" s="80"/>
      <c r="C8" s="82" t="s">
        <v>101</v>
      </c>
      <c r="D8" s="80"/>
      <c r="E8" s="132"/>
      <c r="F8" s="80"/>
      <c r="G8" s="80"/>
      <c r="H8" s="80"/>
      <c r="I8" s="80"/>
      <c r="J8" s="80"/>
      <c r="K8" s="80"/>
      <c r="L8" s="80"/>
      <c r="M8" s="80"/>
      <c r="N8" s="40"/>
      <c r="P8" s="202" t="s">
        <v>169</v>
      </c>
      <c r="Q8" s="203"/>
      <c r="R8" s="203"/>
      <c r="S8" s="203"/>
      <c r="T8" s="203"/>
      <c r="U8" s="203"/>
      <c r="V8" s="49"/>
    </row>
    <row r="9" spans="1:22" ht="18.75" customHeight="1" thickBot="1">
      <c r="A9" s="40"/>
      <c r="B9" s="80"/>
      <c r="D9" s="186"/>
      <c r="E9" s="187"/>
      <c r="F9" s="80" t="s">
        <v>10</v>
      </c>
      <c r="G9" s="80"/>
      <c r="H9" s="80"/>
      <c r="I9" s="80"/>
      <c r="J9" s="80"/>
      <c r="K9" s="80"/>
      <c r="L9" s="80"/>
      <c r="M9" s="80"/>
      <c r="N9" s="40"/>
      <c r="P9" s="202"/>
      <c r="Q9" s="203"/>
      <c r="R9" s="203"/>
      <c r="S9" s="203"/>
      <c r="T9" s="203"/>
      <c r="U9" s="203"/>
      <c r="V9" s="49"/>
    </row>
    <row r="10" spans="1:22" ht="18.75" customHeight="1">
      <c r="A10" s="40"/>
      <c r="B10" s="80"/>
      <c r="C10" s="80"/>
      <c r="D10" s="80"/>
      <c r="E10" s="80"/>
      <c r="F10" s="80"/>
      <c r="G10" s="80"/>
      <c r="H10" s="80"/>
      <c r="I10" s="80"/>
      <c r="J10" s="80"/>
      <c r="K10" s="80"/>
      <c r="L10" s="80"/>
      <c r="M10" s="80"/>
      <c r="N10" s="40"/>
      <c r="P10" s="196" t="s">
        <v>60</v>
      </c>
      <c r="Q10" s="197"/>
      <c r="R10" s="197"/>
      <c r="S10" s="197"/>
      <c r="T10" s="197"/>
      <c r="U10" s="197"/>
      <c r="V10" s="103"/>
    </row>
    <row r="11" spans="1:22" ht="18.75" customHeight="1" thickBot="1">
      <c r="A11" s="40"/>
      <c r="B11" s="80"/>
      <c r="C11" s="82" t="s">
        <v>150</v>
      </c>
      <c r="D11" s="80"/>
      <c r="E11" s="132"/>
      <c r="F11" s="80"/>
      <c r="G11" s="80"/>
      <c r="H11" s="80"/>
      <c r="I11" s="80"/>
      <c r="J11" s="80"/>
      <c r="K11" s="80"/>
      <c r="L11" s="80"/>
      <c r="M11" s="80"/>
      <c r="N11" s="40"/>
      <c r="P11" s="196" t="s">
        <v>61</v>
      </c>
      <c r="Q11" s="197"/>
      <c r="R11" s="197"/>
      <c r="S11" s="197"/>
      <c r="T11" s="197"/>
      <c r="U11" s="197"/>
      <c r="V11" s="103"/>
    </row>
    <row r="12" spans="1:22" ht="18.75" customHeight="1" thickBot="1">
      <c r="A12" s="40"/>
      <c r="B12" s="80"/>
      <c r="D12" s="184"/>
      <c r="E12" s="185"/>
      <c r="F12" s="80"/>
      <c r="G12" s="80"/>
      <c r="H12" s="80"/>
      <c r="I12" s="80"/>
      <c r="J12" s="80"/>
      <c r="K12" s="80"/>
      <c r="L12" s="80"/>
      <c r="M12" s="80"/>
      <c r="N12" s="40"/>
      <c r="P12" s="196" t="s">
        <v>62</v>
      </c>
      <c r="Q12" s="197"/>
      <c r="R12" s="197"/>
      <c r="S12" s="197"/>
      <c r="T12" s="197"/>
      <c r="U12" s="197"/>
      <c r="V12" s="103"/>
    </row>
    <row r="13" spans="1:22" ht="18.75" customHeight="1">
      <c r="A13" s="40"/>
      <c r="B13" s="80"/>
      <c r="C13" s="80"/>
      <c r="D13" s="80"/>
      <c r="E13" s="80"/>
      <c r="F13" s="80"/>
      <c r="G13" s="80"/>
      <c r="H13" s="127"/>
      <c r="I13" s="127"/>
      <c r="J13" s="127"/>
      <c r="K13" s="127"/>
      <c r="L13" s="127"/>
      <c r="M13" s="127"/>
      <c r="N13" s="40"/>
      <c r="P13" s="196" t="s">
        <v>63</v>
      </c>
      <c r="Q13" s="197"/>
      <c r="R13" s="197"/>
      <c r="S13" s="197"/>
      <c r="T13" s="197"/>
      <c r="U13" s="197"/>
      <c r="V13" s="103"/>
    </row>
    <row r="14" spans="1:22" ht="18.75" customHeight="1">
      <c r="A14" s="40"/>
      <c r="B14" s="80"/>
      <c r="C14" s="82" t="s">
        <v>172</v>
      </c>
      <c r="D14" s="80"/>
      <c r="E14" s="80"/>
      <c r="F14" s="80"/>
      <c r="G14" s="80"/>
      <c r="H14" s="80"/>
      <c r="I14" s="80"/>
      <c r="J14" s="80"/>
      <c r="K14" s="80"/>
      <c r="L14" s="80"/>
      <c r="M14" s="80"/>
      <c r="N14" s="40"/>
      <c r="P14" s="196" t="s">
        <v>170</v>
      </c>
      <c r="Q14" s="197"/>
      <c r="R14" s="197"/>
      <c r="S14" s="197"/>
      <c r="T14" s="197"/>
      <c r="U14" s="197"/>
      <c r="V14" s="103"/>
    </row>
    <row r="15" spans="1:22" ht="18.75" customHeight="1">
      <c r="A15" s="40"/>
      <c r="B15" s="80"/>
      <c r="D15" s="188" t="str">
        <f>IF($D$12="加入していない","世帯主と
加入者","加入者")</f>
        <v>加入者</v>
      </c>
      <c r="E15" s="188" t="s">
        <v>151</v>
      </c>
      <c r="F15" s="188" t="s">
        <v>97</v>
      </c>
      <c r="G15" s="188" t="s">
        <v>98</v>
      </c>
      <c r="H15" s="188" t="s">
        <v>99</v>
      </c>
      <c r="I15" s="80"/>
      <c r="J15" s="80"/>
      <c r="K15" s="80"/>
      <c r="L15" s="80"/>
      <c r="M15" s="80"/>
      <c r="N15" s="40"/>
      <c r="P15" s="196" t="s">
        <v>155</v>
      </c>
      <c r="Q15" s="197"/>
      <c r="R15" s="197"/>
      <c r="S15" s="197"/>
      <c r="T15" s="197"/>
      <c r="U15" s="197"/>
      <c r="V15" s="198"/>
    </row>
    <row r="16" spans="1:22" ht="18.75" customHeight="1">
      <c r="A16" s="40"/>
      <c r="B16" s="80"/>
      <c r="D16" s="189"/>
      <c r="E16" s="189"/>
      <c r="F16" s="189"/>
      <c r="G16" s="189"/>
      <c r="H16" s="189"/>
      <c r="I16" s="80"/>
      <c r="J16" s="80"/>
      <c r="K16" s="80"/>
      <c r="L16" s="80"/>
      <c r="M16" s="80"/>
      <c r="N16" s="40"/>
      <c r="P16" s="196" t="s">
        <v>156</v>
      </c>
      <c r="Q16" s="197"/>
      <c r="R16" s="197"/>
      <c r="S16" s="197"/>
      <c r="T16" s="197"/>
      <c r="U16" s="197"/>
      <c r="V16" s="198"/>
    </row>
    <row r="17" spans="1:22" ht="18.75" customHeight="1">
      <c r="A17" s="40"/>
      <c r="B17" s="80"/>
      <c r="D17" s="39">
        <f>IF($D$12="加入していない","世帯主",1)</f>
        <v>1</v>
      </c>
      <c r="E17" s="44"/>
      <c r="F17" s="74"/>
      <c r="G17" s="74"/>
      <c r="H17" s="74"/>
      <c r="I17" s="128" t="str">
        <f>IF(D12="加入していない","※国保に加入していない世帯主の所得を入力してください。","")</f>
        <v/>
      </c>
      <c r="J17" s="80"/>
      <c r="K17" s="80"/>
      <c r="L17" s="129"/>
      <c r="M17" s="129"/>
      <c r="N17" s="41"/>
      <c r="P17" s="196"/>
      <c r="Q17" s="197"/>
      <c r="R17" s="197"/>
      <c r="S17" s="197"/>
      <c r="T17" s="197"/>
      <c r="U17" s="197"/>
      <c r="V17" s="198"/>
    </row>
    <row r="18" spans="1:22" ht="18.75" customHeight="1">
      <c r="A18" s="40"/>
      <c r="B18" s="80"/>
      <c r="D18" s="39">
        <f>IF($D$12="加入していない",1,2)</f>
        <v>2</v>
      </c>
      <c r="E18" s="44"/>
      <c r="F18" s="74"/>
      <c r="G18" s="149"/>
      <c r="H18" s="74"/>
      <c r="I18" s="130" t="str">
        <f>IF(D12="加入していない","↓加入者の所得は「1」の行から入力してください。","")</f>
        <v/>
      </c>
      <c r="J18" s="80"/>
      <c r="K18" s="80"/>
      <c r="L18" s="123"/>
      <c r="M18" s="123"/>
      <c r="N18" s="42"/>
      <c r="P18" s="196" t="s">
        <v>147</v>
      </c>
      <c r="Q18" s="197"/>
      <c r="R18" s="197"/>
      <c r="S18" s="197"/>
      <c r="T18" s="197"/>
      <c r="U18" s="197"/>
      <c r="V18" s="198"/>
    </row>
    <row r="19" spans="1:22" ht="18.75" customHeight="1" thickBot="1">
      <c r="A19" s="40"/>
      <c r="B19" s="80"/>
      <c r="D19" s="39">
        <f>IF($D$12="加入していない",2,3)</f>
        <v>3</v>
      </c>
      <c r="E19" s="44"/>
      <c r="F19" s="149"/>
      <c r="G19" s="149"/>
      <c r="H19" s="74"/>
      <c r="I19" s="80"/>
      <c r="J19" s="80"/>
      <c r="K19" s="80"/>
      <c r="L19" s="80"/>
      <c r="M19" s="80"/>
      <c r="N19" s="40"/>
      <c r="P19" s="193" t="s">
        <v>188</v>
      </c>
      <c r="Q19" s="194"/>
      <c r="R19" s="194"/>
      <c r="S19" s="194"/>
      <c r="T19" s="194"/>
      <c r="U19" s="194"/>
      <c r="V19" s="195"/>
    </row>
    <row r="20" spans="1:22" ht="18.75" customHeight="1" thickTop="1" thickBot="1">
      <c r="A20" s="40"/>
      <c r="B20" s="80"/>
      <c r="D20" s="39">
        <f>IF($D$12="加入していない",3,4)</f>
        <v>4</v>
      </c>
      <c r="E20" s="44"/>
      <c r="F20" s="149"/>
      <c r="G20" s="149"/>
      <c r="H20" s="74"/>
      <c r="I20" s="80"/>
      <c r="J20" s="80"/>
      <c r="K20" s="80"/>
      <c r="L20" s="80"/>
      <c r="M20" s="80"/>
      <c r="N20" s="40"/>
    </row>
    <row r="21" spans="1:22" ht="18.75" customHeight="1" thickTop="1">
      <c r="A21" s="40"/>
      <c r="B21" s="80"/>
      <c r="D21" s="39">
        <f>IF($D$12="加入していない",4,5)</f>
        <v>5</v>
      </c>
      <c r="E21" s="44"/>
      <c r="F21" s="149"/>
      <c r="G21" s="149"/>
      <c r="H21" s="74"/>
      <c r="I21" s="80"/>
      <c r="J21" s="80"/>
      <c r="K21" s="80"/>
      <c r="L21" s="80"/>
      <c r="M21" s="80"/>
      <c r="N21" s="40"/>
      <c r="P21" s="50" t="s">
        <v>64</v>
      </c>
      <c r="Q21" s="51"/>
      <c r="R21" s="52"/>
      <c r="S21" s="52"/>
      <c r="T21" s="52"/>
      <c r="U21" s="52"/>
      <c r="V21" s="53"/>
    </row>
    <row r="22" spans="1:22" ht="18.75" customHeight="1">
      <c r="A22" s="40"/>
      <c r="B22" s="80"/>
      <c r="D22" s="39">
        <f>IF($D$12="加入していない",5,6)</f>
        <v>6</v>
      </c>
      <c r="E22" s="44"/>
      <c r="F22" s="149"/>
      <c r="G22" s="149"/>
      <c r="H22" s="74"/>
      <c r="I22" s="80"/>
      <c r="J22" s="80"/>
      <c r="K22" s="80"/>
      <c r="L22" s="80"/>
      <c r="M22" s="80"/>
      <c r="N22" s="40"/>
      <c r="P22" s="54" t="s">
        <v>65</v>
      </c>
      <c r="Q22" s="55"/>
      <c r="R22" s="55"/>
      <c r="S22" s="55"/>
      <c r="T22" s="55"/>
      <c r="U22" s="55"/>
      <c r="V22" s="56"/>
    </row>
    <row r="23" spans="1:22" ht="18.75" customHeight="1">
      <c r="A23" s="40"/>
      <c r="B23" s="80"/>
      <c r="D23" s="39">
        <f>IF($D$12="加入していない",6,7)</f>
        <v>7</v>
      </c>
      <c r="E23" s="44"/>
      <c r="F23" s="149"/>
      <c r="G23" s="149"/>
      <c r="H23" s="74"/>
      <c r="I23" s="80"/>
      <c r="J23" s="80"/>
      <c r="K23" s="80"/>
      <c r="L23" s="80"/>
      <c r="M23" s="80"/>
      <c r="N23" s="40"/>
      <c r="P23" s="54" t="s">
        <v>179</v>
      </c>
      <c r="Q23" s="55"/>
      <c r="R23" s="55"/>
      <c r="S23" s="57"/>
      <c r="T23" s="57"/>
      <c r="U23" s="57"/>
      <c r="V23" s="56"/>
    </row>
    <row r="24" spans="1:22" ht="18.75" customHeight="1">
      <c r="A24" s="40"/>
      <c r="B24" s="80"/>
      <c r="D24" s="39" t="str">
        <f>IF($D$12="加入していない",7,"-")</f>
        <v>-</v>
      </c>
      <c r="E24" s="44"/>
      <c r="F24" s="44"/>
      <c r="G24" s="44"/>
      <c r="H24" s="74"/>
      <c r="I24" s="80"/>
      <c r="J24" s="80"/>
      <c r="K24" s="80"/>
      <c r="L24" s="80"/>
      <c r="M24" s="80"/>
      <c r="N24" s="40"/>
      <c r="P24" s="54" t="s">
        <v>71</v>
      </c>
      <c r="Q24" s="135"/>
      <c r="R24" s="135"/>
      <c r="S24" s="57"/>
      <c r="T24" s="57"/>
      <c r="U24" s="57"/>
      <c r="V24" s="56"/>
    </row>
    <row r="25" spans="1:22" ht="18.75" customHeight="1">
      <c r="A25" s="40"/>
      <c r="B25" s="80"/>
      <c r="C25" s="80"/>
      <c r="D25" s="80"/>
      <c r="E25" s="80"/>
      <c r="F25" s="80"/>
      <c r="G25" s="80"/>
      <c r="H25" s="80"/>
      <c r="I25" s="80"/>
      <c r="J25" s="80"/>
      <c r="K25" s="80"/>
      <c r="L25" s="80"/>
      <c r="M25" s="80"/>
      <c r="N25" s="40"/>
      <c r="P25" s="58" t="s">
        <v>70</v>
      </c>
      <c r="Q25" s="57"/>
      <c r="R25" s="57"/>
      <c r="S25" s="135"/>
      <c r="T25" s="135"/>
      <c r="U25" s="135"/>
      <c r="V25" s="56"/>
    </row>
    <row r="26" spans="1:22" ht="18.75" customHeight="1">
      <c r="A26" s="40"/>
      <c r="B26" s="80"/>
      <c r="C26" s="80"/>
      <c r="D26" s="80"/>
      <c r="E26" s="80"/>
      <c r="F26" s="80"/>
      <c r="G26" s="80"/>
      <c r="H26" s="80"/>
      <c r="I26" s="80"/>
      <c r="J26" s="80"/>
      <c r="K26" s="80"/>
      <c r="L26" s="80"/>
      <c r="M26" s="80"/>
      <c r="N26" s="40"/>
      <c r="P26" s="59"/>
      <c r="Q26" s="57"/>
      <c r="R26" s="57"/>
      <c r="S26" s="135"/>
      <c r="T26" s="135"/>
      <c r="U26" s="135"/>
      <c r="V26" s="56"/>
    </row>
    <row r="27" spans="1:22" ht="18.75" customHeight="1">
      <c r="A27" s="40"/>
      <c r="B27" s="80"/>
      <c r="C27" s="82" t="s">
        <v>55</v>
      </c>
      <c r="D27" s="80"/>
      <c r="E27" s="80"/>
      <c r="F27" s="80"/>
      <c r="H27" s="80"/>
      <c r="I27" s="80"/>
      <c r="J27" s="80"/>
      <c r="K27" s="88" t="s">
        <v>57</v>
      </c>
      <c r="L27" s="80"/>
      <c r="M27" s="80"/>
      <c r="N27" s="40"/>
      <c r="P27" s="54"/>
      <c r="Q27" s="135"/>
      <c r="R27" s="135"/>
      <c r="S27" s="135"/>
      <c r="T27" s="135"/>
      <c r="U27" s="135"/>
      <c r="V27" s="56"/>
    </row>
    <row r="28" spans="1:22" ht="18.75" customHeight="1">
      <c r="A28" s="40"/>
      <c r="B28" s="80"/>
      <c r="C28" s="80"/>
      <c r="D28" s="117"/>
      <c r="E28" s="96" t="s">
        <v>35</v>
      </c>
      <c r="F28" s="96" t="s">
        <v>18</v>
      </c>
      <c r="G28" s="151" t="s">
        <v>180</v>
      </c>
      <c r="H28" s="96" t="s">
        <v>19</v>
      </c>
      <c r="I28" s="150" t="s">
        <v>36</v>
      </c>
      <c r="J28" s="150" t="s">
        <v>37</v>
      </c>
      <c r="K28" s="150" t="s">
        <v>32</v>
      </c>
      <c r="L28" s="80"/>
      <c r="M28" s="80"/>
      <c r="N28" s="40"/>
      <c r="P28" s="54"/>
      <c r="Q28" s="135"/>
      <c r="R28" s="135"/>
      <c r="S28" s="135"/>
      <c r="T28" s="135"/>
      <c r="U28" s="135"/>
      <c r="V28" s="56"/>
    </row>
    <row r="29" spans="1:22" ht="18.75" customHeight="1">
      <c r="A29" s="40"/>
      <c r="B29" s="80"/>
      <c r="C29" s="80"/>
      <c r="D29" s="117" t="s">
        <v>20</v>
      </c>
      <c r="E29" s="165">
        <f>計算表!C48</f>
        <v>0</v>
      </c>
      <c r="F29" s="165">
        <f>計算表!D48</f>
        <v>0</v>
      </c>
      <c r="G29" s="165">
        <f>計算表!E48</f>
        <v>0</v>
      </c>
      <c r="H29" s="165">
        <f>計算表!F48</f>
        <v>6750</v>
      </c>
      <c r="I29" s="165">
        <f>計算表!G48</f>
        <v>6700</v>
      </c>
      <c r="J29" s="165">
        <f>計算表!H48</f>
        <v>670000</v>
      </c>
      <c r="K29" s="166">
        <f>計算表!I48</f>
        <v>6700</v>
      </c>
      <c r="L29" s="80"/>
      <c r="M29" s="80"/>
      <c r="N29" s="40"/>
      <c r="P29" s="58" t="s">
        <v>67</v>
      </c>
      <c r="Q29" s="135"/>
      <c r="R29" s="135"/>
      <c r="S29" s="135"/>
      <c r="T29" s="135"/>
      <c r="U29" s="135"/>
      <c r="V29" s="56"/>
    </row>
    <row r="30" spans="1:22" ht="18.75" customHeight="1">
      <c r="A30" s="40"/>
      <c r="B30" s="80"/>
      <c r="C30" s="80"/>
      <c r="D30" s="126" t="s">
        <v>104</v>
      </c>
      <c r="E30" s="165">
        <f>計算表!C49</f>
        <v>0</v>
      </c>
      <c r="F30" s="165">
        <f>計算表!D49</f>
        <v>0</v>
      </c>
      <c r="G30" s="165">
        <f>計算表!E49</f>
        <v>0</v>
      </c>
      <c r="H30" s="165">
        <f>計算表!F49</f>
        <v>2310</v>
      </c>
      <c r="I30" s="165">
        <f>計算表!G49</f>
        <v>2300</v>
      </c>
      <c r="J30" s="165">
        <f>計算表!H49</f>
        <v>260000</v>
      </c>
      <c r="K30" s="166">
        <f>計算表!I49</f>
        <v>2300</v>
      </c>
      <c r="L30" s="80"/>
      <c r="M30" s="80"/>
      <c r="N30" s="40"/>
      <c r="P30" s="54" t="s">
        <v>66</v>
      </c>
      <c r="Q30" s="135"/>
      <c r="R30" s="135"/>
      <c r="S30" s="135"/>
      <c r="T30" s="135"/>
      <c r="U30" s="135"/>
      <c r="V30" s="56"/>
    </row>
    <row r="31" spans="1:22" ht="18.75" customHeight="1">
      <c r="A31" s="40"/>
      <c r="B31" s="80"/>
      <c r="C31" s="80"/>
      <c r="D31" s="117" t="s">
        <v>21</v>
      </c>
      <c r="E31" s="165">
        <f>計算表!C50</f>
        <v>0</v>
      </c>
      <c r="F31" s="165">
        <f>計算表!D50</f>
        <v>0</v>
      </c>
      <c r="G31" s="165">
        <f>計算表!E50</f>
        <v>0</v>
      </c>
      <c r="H31" s="165">
        <f>計算表!F50</f>
        <v>0</v>
      </c>
      <c r="I31" s="167">
        <f>計算表!G50</f>
        <v>0</v>
      </c>
      <c r="J31" s="167">
        <f>計算表!H50</f>
        <v>170000</v>
      </c>
      <c r="K31" s="168">
        <f>計算表!I50</f>
        <v>0</v>
      </c>
      <c r="L31" s="80"/>
      <c r="M31" s="80"/>
      <c r="N31" s="40"/>
      <c r="P31" s="54" t="s">
        <v>68</v>
      </c>
      <c r="Q31" s="135"/>
      <c r="R31" s="135"/>
      <c r="S31" s="135"/>
      <c r="T31" s="135"/>
      <c r="U31" s="135"/>
      <c r="V31" s="56"/>
    </row>
    <row r="32" spans="1:22" ht="18.75" customHeight="1" thickBot="1">
      <c r="A32" s="40"/>
      <c r="B32" s="80"/>
      <c r="C32" s="80"/>
      <c r="D32" s="155" t="s">
        <v>178</v>
      </c>
      <c r="E32" s="165">
        <f>計算表!C51</f>
        <v>0</v>
      </c>
      <c r="F32" s="165">
        <f>計算表!D51</f>
        <v>0</v>
      </c>
      <c r="G32" s="165">
        <f>計算表!E51</f>
        <v>0</v>
      </c>
      <c r="H32" s="165">
        <f>計算表!F51</f>
        <v>240</v>
      </c>
      <c r="I32" s="167">
        <f>計算表!G51</f>
        <v>200</v>
      </c>
      <c r="J32" s="167">
        <f>計算表!H51</f>
        <v>30000</v>
      </c>
      <c r="K32" s="168">
        <f>計算表!I51</f>
        <v>200</v>
      </c>
      <c r="L32" s="80"/>
      <c r="M32" s="80"/>
      <c r="N32" s="40"/>
      <c r="P32" s="60" t="s">
        <v>69</v>
      </c>
      <c r="Q32" s="61"/>
      <c r="R32" s="61"/>
      <c r="S32" s="61"/>
      <c r="T32" s="61"/>
      <c r="U32" s="61"/>
      <c r="V32" s="62"/>
    </row>
    <row r="33" spans="1:14" ht="18.75" customHeight="1" thickTop="1" thickBot="1">
      <c r="A33" s="40"/>
      <c r="B33" s="80"/>
      <c r="C33" s="80"/>
      <c r="D33" s="80"/>
      <c r="E33" s="169"/>
      <c r="F33" s="169"/>
      <c r="G33" s="170"/>
      <c r="H33" s="169"/>
      <c r="I33" s="171" t="s">
        <v>41</v>
      </c>
      <c r="J33" s="172"/>
      <c r="K33" s="173">
        <f>SUM(K29:K32)</f>
        <v>9200</v>
      </c>
      <c r="L33" s="80"/>
      <c r="M33" s="80"/>
      <c r="N33" s="40"/>
    </row>
    <row r="34" spans="1:14" ht="18.75" customHeight="1" thickBot="1">
      <c r="A34" s="40"/>
      <c r="B34" s="80"/>
      <c r="C34" s="80"/>
      <c r="D34" s="115"/>
      <c r="E34" s="174"/>
      <c r="F34" s="174"/>
      <c r="G34" s="170"/>
      <c r="H34" s="174"/>
      <c r="I34" s="191" t="s">
        <v>102</v>
      </c>
      <c r="J34" s="192"/>
      <c r="K34" s="175">
        <f>ROUND(K33/12,-2)</f>
        <v>800</v>
      </c>
      <c r="L34" s="80"/>
      <c r="M34" s="80"/>
      <c r="N34" s="40"/>
    </row>
    <row r="35" spans="1:14" ht="18.75" customHeight="1">
      <c r="A35" s="40"/>
      <c r="B35" s="115"/>
      <c r="C35" s="115"/>
      <c r="D35" s="80"/>
      <c r="E35" s="80"/>
      <c r="F35" s="80"/>
      <c r="G35" s="80"/>
      <c r="I35" s="190" t="s">
        <v>148</v>
      </c>
      <c r="J35" s="190"/>
      <c r="K35" s="190"/>
      <c r="L35" s="190"/>
      <c r="M35" s="116"/>
      <c r="N35" s="40"/>
    </row>
    <row r="36" spans="1:14" ht="18.75" customHeight="1">
      <c r="A36" s="40"/>
      <c r="B36" s="115"/>
      <c r="C36" s="115"/>
      <c r="D36" s="115"/>
      <c r="E36" s="115"/>
      <c r="F36" s="115"/>
      <c r="G36" s="115"/>
      <c r="H36" s="156"/>
      <c r="I36" s="190"/>
      <c r="J36" s="190"/>
      <c r="K36" s="190"/>
      <c r="L36" s="190"/>
      <c r="M36" s="116"/>
      <c r="N36" s="40"/>
    </row>
    <row r="37" spans="1:14" ht="13.5" customHeight="1">
      <c r="A37" s="40"/>
      <c r="B37" s="80"/>
      <c r="C37" s="82" t="s">
        <v>58</v>
      </c>
      <c r="D37" s="80"/>
      <c r="E37" s="80"/>
      <c r="F37" s="80"/>
      <c r="G37" s="80"/>
      <c r="H37" s="80"/>
      <c r="I37" s="80"/>
      <c r="J37" s="80" t="s">
        <v>57</v>
      </c>
      <c r="K37" s="80"/>
      <c r="L37" s="116"/>
      <c r="M37" s="116"/>
      <c r="N37" s="40"/>
    </row>
    <row r="38" spans="1:14" ht="13.5" customHeight="1">
      <c r="A38" s="40"/>
      <c r="B38" s="80"/>
      <c r="C38" s="80"/>
      <c r="D38" s="80"/>
      <c r="E38" s="80"/>
      <c r="F38" s="80"/>
      <c r="G38" s="80"/>
      <c r="H38" s="96" t="s">
        <v>45</v>
      </c>
      <c r="I38" s="117" t="s">
        <v>42</v>
      </c>
      <c r="J38" s="117" t="s">
        <v>43</v>
      </c>
      <c r="K38" s="93"/>
      <c r="L38" s="80"/>
      <c r="M38" s="80"/>
      <c r="N38" s="40"/>
    </row>
    <row r="39" spans="1:14" ht="13.5" customHeight="1">
      <c r="A39" s="40"/>
      <c r="B39" s="80"/>
      <c r="C39" s="80"/>
      <c r="D39" s="118" t="s">
        <v>74</v>
      </c>
      <c r="E39" s="80"/>
      <c r="F39" s="80"/>
      <c r="G39" s="80"/>
      <c r="H39" s="119" t="s">
        <v>46</v>
      </c>
      <c r="I39" s="96" t="s">
        <v>88</v>
      </c>
      <c r="J39" s="120">
        <f>J48-SUM(J40:J47)</f>
        <v>1200</v>
      </c>
      <c r="K39" s="136"/>
      <c r="L39" s="80"/>
      <c r="M39" s="80"/>
      <c r="N39" s="40"/>
    </row>
    <row r="40" spans="1:14" ht="13.5" customHeight="1">
      <c r="A40" s="40"/>
      <c r="B40" s="80"/>
      <c r="C40" s="80"/>
      <c r="D40" s="121" t="s">
        <v>75</v>
      </c>
      <c r="E40" s="80"/>
      <c r="F40" s="80"/>
      <c r="G40" s="80"/>
      <c r="H40" s="119" t="s">
        <v>47</v>
      </c>
      <c r="I40" s="96" t="s">
        <v>89</v>
      </c>
      <c r="J40" s="120">
        <f>ROUNDDOWN(J$48/9,-2)</f>
        <v>1000</v>
      </c>
      <c r="K40" s="136"/>
      <c r="L40" s="80"/>
      <c r="M40" s="80"/>
      <c r="N40" s="40"/>
    </row>
    <row r="41" spans="1:14" ht="13.5" customHeight="1">
      <c r="A41" s="40"/>
      <c r="B41" s="80"/>
      <c r="C41" s="80"/>
      <c r="D41" s="121" t="s">
        <v>76</v>
      </c>
      <c r="E41" s="80"/>
      <c r="F41" s="80"/>
      <c r="G41" s="80"/>
      <c r="H41" s="119" t="s">
        <v>48</v>
      </c>
      <c r="I41" s="96" t="s">
        <v>90</v>
      </c>
      <c r="J41" s="120">
        <f t="shared" ref="J41:J47" si="0">ROUNDDOWN(J$48/9,-2)</f>
        <v>1000</v>
      </c>
      <c r="K41" s="136"/>
      <c r="L41" s="80"/>
      <c r="M41" s="80"/>
      <c r="N41" s="40"/>
    </row>
    <row r="42" spans="1:14" ht="13.5" customHeight="1">
      <c r="A42" s="40"/>
      <c r="B42" s="80"/>
      <c r="C42" s="80"/>
      <c r="D42" s="121" t="s">
        <v>77</v>
      </c>
      <c r="E42" s="80"/>
      <c r="F42" s="80"/>
      <c r="G42" s="80"/>
      <c r="H42" s="119" t="s">
        <v>49</v>
      </c>
      <c r="I42" s="96" t="s">
        <v>91</v>
      </c>
      <c r="J42" s="120">
        <f t="shared" si="0"/>
        <v>1000</v>
      </c>
      <c r="K42" s="136"/>
      <c r="L42" s="80"/>
      <c r="M42" s="80"/>
      <c r="N42" s="40"/>
    </row>
    <row r="43" spans="1:14" ht="13.5" customHeight="1">
      <c r="A43" s="40"/>
      <c r="B43" s="80"/>
      <c r="C43" s="80"/>
      <c r="D43" s="121" t="s">
        <v>149</v>
      </c>
      <c r="E43" s="80"/>
      <c r="F43" s="80"/>
      <c r="G43" s="80"/>
      <c r="H43" s="119" t="s">
        <v>50</v>
      </c>
      <c r="I43" s="96" t="s">
        <v>92</v>
      </c>
      <c r="J43" s="120">
        <f t="shared" si="0"/>
        <v>1000</v>
      </c>
      <c r="K43" s="136"/>
      <c r="L43" s="80"/>
      <c r="M43" s="80"/>
      <c r="N43" s="40"/>
    </row>
    <row r="44" spans="1:14" ht="13.5" customHeight="1">
      <c r="A44" s="40"/>
      <c r="B44" s="80"/>
      <c r="C44" s="80"/>
      <c r="D44" s="80"/>
      <c r="E44" s="80"/>
      <c r="F44" s="80"/>
      <c r="G44" s="80"/>
      <c r="H44" s="119" t="s">
        <v>51</v>
      </c>
      <c r="I44" s="96" t="s">
        <v>93</v>
      </c>
      <c r="J44" s="120">
        <f t="shared" si="0"/>
        <v>1000</v>
      </c>
      <c r="K44" s="136"/>
      <c r="L44" s="80"/>
      <c r="M44" s="80"/>
      <c r="N44" s="40"/>
    </row>
    <row r="45" spans="1:14" ht="13.5" customHeight="1">
      <c r="A45" s="40"/>
      <c r="B45" s="80"/>
      <c r="C45" s="80"/>
      <c r="D45" s="122" t="s">
        <v>80</v>
      </c>
      <c r="E45" s="80"/>
      <c r="F45" s="80"/>
      <c r="G45" s="80"/>
      <c r="H45" s="119" t="s">
        <v>52</v>
      </c>
      <c r="I45" s="96" t="s">
        <v>94</v>
      </c>
      <c r="J45" s="120">
        <f t="shared" si="0"/>
        <v>1000</v>
      </c>
      <c r="K45" s="136"/>
      <c r="L45" s="80"/>
      <c r="M45" s="80"/>
      <c r="N45" s="40"/>
    </row>
    <row r="46" spans="1:14" ht="13.5" customHeight="1">
      <c r="A46" s="40"/>
      <c r="B46" s="80"/>
      <c r="C46" s="80"/>
      <c r="D46" s="123" t="s">
        <v>78</v>
      </c>
      <c r="E46" s="80"/>
      <c r="F46" s="80"/>
      <c r="G46" s="80"/>
      <c r="H46" s="119" t="s">
        <v>53</v>
      </c>
      <c r="I46" s="96" t="s">
        <v>95</v>
      </c>
      <c r="J46" s="120">
        <f t="shared" si="0"/>
        <v>1000</v>
      </c>
      <c r="K46" s="136"/>
      <c r="L46" s="80"/>
      <c r="M46" s="80"/>
      <c r="N46" s="40"/>
    </row>
    <row r="47" spans="1:14" ht="13.5" customHeight="1">
      <c r="A47" s="40"/>
      <c r="B47" s="80"/>
      <c r="C47" s="80"/>
      <c r="D47" s="123" t="s">
        <v>79</v>
      </c>
      <c r="E47" s="80"/>
      <c r="F47" s="80"/>
      <c r="G47" s="80"/>
      <c r="H47" s="119" t="s">
        <v>54</v>
      </c>
      <c r="I47" s="96" t="s">
        <v>96</v>
      </c>
      <c r="J47" s="120">
        <f t="shared" si="0"/>
        <v>1000</v>
      </c>
      <c r="K47" s="136"/>
      <c r="L47" s="80"/>
      <c r="M47" s="80"/>
      <c r="N47" s="40"/>
    </row>
    <row r="48" spans="1:14" ht="18.75" customHeight="1">
      <c r="A48" s="40"/>
      <c r="B48" s="80"/>
      <c r="C48" s="80"/>
      <c r="D48" s="80"/>
      <c r="E48" s="80"/>
      <c r="F48" s="80"/>
      <c r="G48" s="80"/>
      <c r="H48" s="179" t="s">
        <v>44</v>
      </c>
      <c r="I48" s="180"/>
      <c r="J48" s="124">
        <f>K33</f>
        <v>9200</v>
      </c>
      <c r="K48" s="137"/>
      <c r="L48" s="80"/>
      <c r="M48" s="80"/>
      <c r="N48" s="40"/>
    </row>
    <row r="49" spans="1:14" ht="18.75" customHeight="1">
      <c r="A49" s="40"/>
      <c r="B49" s="80"/>
      <c r="C49" s="80"/>
      <c r="D49" s="80"/>
      <c r="E49" s="80"/>
      <c r="F49" s="80"/>
      <c r="G49" s="80"/>
      <c r="H49" s="80"/>
      <c r="I49" s="80"/>
      <c r="J49" s="94"/>
      <c r="K49" s="94"/>
      <c r="L49" s="80"/>
      <c r="M49" s="80"/>
      <c r="N49" s="40"/>
    </row>
    <row r="50" spans="1:14" ht="21" customHeight="1">
      <c r="A50" s="40"/>
      <c r="B50" s="125" t="s">
        <v>181</v>
      </c>
      <c r="C50" s="125"/>
      <c r="D50" s="80"/>
      <c r="E50" s="80"/>
      <c r="F50" s="80"/>
      <c r="G50" s="80"/>
      <c r="H50" s="80"/>
      <c r="I50" s="80"/>
      <c r="J50" s="80"/>
      <c r="K50" s="80"/>
      <c r="L50" s="80"/>
      <c r="M50" s="80"/>
      <c r="N50" s="40"/>
    </row>
    <row r="51" spans="1:14" ht="18.75" customHeight="1">
      <c r="A51" s="40"/>
      <c r="B51" s="40"/>
      <c r="C51" s="40"/>
      <c r="D51" s="40"/>
      <c r="E51" s="40"/>
      <c r="F51" s="40"/>
      <c r="G51" s="40"/>
      <c r="H51" s="40"/>
      <c r="I51" s="40"/>
      <c r="J51" s="40"/>
      <c r="K51" s="40"/>
      <c r="L51" s="40"/>
      <c r="M51" s="40"/>
      <c r="N51" s="40"/>
    </row>
  </sheetData>
  <sheetProtection sheet="1" objects="1" scenarios="1"/>
  <mergeCells count="24">
    <mergeCell ref="P10:U10"/>
    <mergeCell ref="P18:V18"/>
    <mergeCell ref="P14:U14"/>
    <mergeCell ref="P4:V5"/>
    <mergeCell ref="P6:V7"/>
    <mergeCell ref="P8:U9"/>
    <mergeCell ref="P19:V19"/>
    <mergeCell ref="P11:U11"/>
    <mergeCell ref="P12:U12"/>
    <mergeCell ref="P13:U13"/>
    <mergeCell ref="P15:V15"/>
    <mergeCell ref="P16:V16"/>
    <mergeCell ref="P17:V17"/>
    <mergeCell ref="H48:I48"/>
    <mergeCell ref="B2:M2"/>
    <mergeCell ref="D12:E12"/>
    <mergeCell ref="D9:E9"/>
    <mergeCell ref="D15:D16"/>
    <mergeCell ref="E15:E16"/>
    <mergeCell ref="F15:F16"/>
    <mergeCell ref="G15:G16"/>
    <mergeCell ref="H15:H16"/>
    <mergeCell ref="I35:L36"/>
    <mergeCell ref="I34:J34"/>
  </mergeCells>
  <phoneticPr fontId="2"/>
  <conditionalFormatting sqref="D17">
    <cfRule type="expression" dxfId="7" priority="7">
      <formula>$D$17="世帯主"</formula>
    </cfRule>
  </conditionalFormatting>
  <conditionalFormatting sqref="D18:H18">
    <cfRule type="expression" dxfId="6" priority="1">
      <formula>AND($D$9=1,$D$12="加入している")</formula>
    </cfRule>
  </conditionalFormatting>
  <conditionalFormatting sqref="D19:H19">
    <cfRule type="expression" dxfId="5" priority="2">
      <formula>OR($D$9&lt;2,AND($D$9=2,$D$12="加入している"))</formula>
    </cfRule>
  </conditionalFormatting>
  <conditionalFormatting sqref="D20:H20">
    <cfRule type="expression" dxfId="4" priority="3">
      <formula>OR($D$9&lt;3,AND($D$9=3,$D$12="加入している"))</formula>
    </cfRule>
  </conditionalFormatting>
  <conditionalFormatting sqref="D21:H21">
    <cfRule type="expression" dxfId="3" priority="4">
      <formula>OR($D$9&lt;4,AND($D$9=4,$D$12="加入している"))</formula>
    </cfRule>
  </conditionalFormatting>
  <conditionalFormatting sqref="D22:H22">
    <cfRule type="expression" dxfId="2" priority="5">
      <formula>OR($D$9&lt;5,AND($D$9=5,$D$12="加入している"))</formula>
    </cfRule>
  </conditionalFormatting>
  <conditionalFormatting sqref="D23:H23">
    <cfRule type="expression" dxfId="1" priority="6">
      <formula>OR($D$9&lt;6,AND($D$9=6,$D$12="加入している"))</formula>
    </cfRule>
  </conditionalFormatting>
  <conditionalFormatting sqref="D24:H24">
    <cfRule type="expression" dxfId="0" priority="14">
      <formula>OR($D$9&lt;7,AND($D$9=7,$D$12="加入している"))</formula>
    </cfRule>
  </conditionalFormatting>
  <dataValidations count="3">
    <dataValidation type="list" allowBlank="1" showInputMessage="1" showErrorMessage="1" sqref="D12" xr:uid="{00000000-0002-0000-0000-000000000000}">
      <formula1>"加入している,加入していない"</formula1>
    </dataValidation>
    <dataValidation type="list" allowBlank="1" showInputMessage="1" showErrorMessage="1" sqref="D9:E9" xr:uid="{00000000-0002-0000-0000-000001000000}">
      <formula1>"1,2,3,4,5,6,7"</formula1>
    </dataValidation>
    <dataValidation type="whole" allowBlank="1" showInputMessage="1" showErrorMessage="1" sqref="E18:E24" xr:uid="{00000000-0002-0000-0000-000002000000}">
      <formula1>0</formula1>
      <formula2>74</formula2>
    </dataValidation>
  </dataValidations>
  <pageMargins left="0.51181102362204722" right="0.11811023622047245" top="0.42" bottom="0.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9"/>
  <sheetViews>
    <sheetView showGridLines="0" topLeftCell="A6" zoomScaleNormal="100" workbookViewId="0">
      <selection activeCell="K12" sqref="K12:K13"/>
    </sheetView>
  </sheetViews>
  <sheetFormatPr defaultRowHeight="18.75" customHeight="1"/>
  <cols>
    <col min="1" max="1" width="3.5" style="80" customWidth="1"/>
    <col min="2" max="2" width="4" style="80" customWidth="1"/>
    <col min="3" max="3" width="4.25" style="80" customWidth="1"/>
    <col min="4" max="4" width="6.75" style="80" customWidth="1"/>
    <col min="5" max="5" width="7.125" style="80" bestFit="1" customWidth="1"/>
    <col min="6" max="6" width="1.625" style="80" customWidth="1"/>
    <col min="7" max="7" width="4.25" style="81" customWidth="1"/>
    <col min="8" max="11" width="15.125" style="80" customWidth="1"/>
    <col min="12" max="12" width="4" style="80" customWidth="1"/>
    <col min="13" max="13" width="3.375" style="80" customWidth="1"/>
    <col min="14" max="18" width="9" style="80"/>
    <col min="19" max="19" width="3.5" style="80" customWidth="1"/>
    <col min="20" max="16384" width="9" style="80"/>
  </cols>
  <sheetData>
    <row r="1" spans="1:13" ht="21" customHeight="1">
      <c r="A1" s="40"/>
      <c r="B1" s="40"/>
      <c r="C1" s="40"/>
      <c r="D1" s="40"/>
      <c r="E1" s="40"/>
      <c r="F1" s="40"/>
      <c r="G1" s="79"/>
      <c r="H1" s="40"/>
      <c r="I1" s="40"/>
      <c r="J1" s="40"/>
      <c r="K1" s="40"/>
      <c r="L1" s="40"/>
      <c r="M1" s="40"/>
    </row>
    <row r="2" spans="1:13" ht="21" customHeight="1">
      <c r="A2" s="40"/>
      <c r="M2" s="40"/>
    </row>
    <row r="3" spans="1:13" ht="18.75" customHeight="1">
      <c r="A3" s="40"/>
      <c r="B3" s="82" t="s">
        <v>145</v>
      </c>
      <c r="M3" s="40"/>
    </row>
    <row r="4" spans="1:13" ht="21" customHeight="1">
      <c r="A4" s="40"/>
      <c r="C4" s="179"/>
      <c r="D4" s="204"/>
      <c r="E4" s="204"/>
      <c r="F4" s="204"/>
      <c r="G4" s="180"/>
      <c r="H4" s="158" t="s">
        <v>130</v>
      </c>
      <c r="I4" s="159" t="s">
        <v>131</v>
      </c>
      <c r="J4" s="160" t="s">
        <v>21</v>
      </c>
      <c r="K4" s="160" t="s">
        <v>178</v>
      </c>
      <c r="M4" s="40"/>
    </row>
    <row r="5" spans="1:13" ht="21" customHeight="1" thickBot="1">
      <c r="A5" s="40"/>
      <c r="C5" s="212" t="s">
        <v>135</v>
      </c>
      <c r="D5" s="213"/>
      <c r="E5" s="213"/>
      <c r="F5" s="213"/>
      <c r="G5" s="214"/>
      <c r="H5" s="161" t="s">
        <v>136</v>
      </c>
      <c r="I5" s="159" t="s">
        <v>136</v>
      </c>
      <c r="J5" s="157" t="s">
        <v>137</v>
      </c>
      <c r="K5" s="157" t="s">
        <v>190</v>
      </c>
      <c r="M5" s="40"/>
    </row>
    <row r="6" spans="1:13" ht="14.25" customHeight="1">
      <c r="A6" s="40"/>
      <c r="C6" s="233" t="s">
        <v>126</v>
      </c>
      <c r="D6" s="250" t="s">
        <v>108</v>
      </c>
      <c r="E6" s="251"/>
      <c r="F6" s="252"/>
      <c r="G6" s="265" t="s">
        <v>111</v>
      </c>
      <c r="H6" s="248">
        <f>計算表!$C14</f>
        <v>0</v>
      </c>
      <c r="I6" s="248">
        <f>計算表!C14</f>
        <v>0</v>
      </c>
      <c r="J6" s="248">
        <f>計算表!C15</f>
        <v>0</v>
      </c>
      <c r="K6" s="246">
        <f>計算表!C14</f>
        <v>0</v>
      </c>
      <c r="M6" s="40"/>
    </row>
    <row r="7" spans="1:13" ht="14.25" customHeight="1">
      <c r="A7" s="40"/>
      <c r="C7" s="234"/>
      <c r="D7" s="253"/>
      <c r="E7" s="254"/>
      <c r="F7" s="255"/>
      <c r="G7" s="264"/>
      <c r="H7" s="249"/>
      <c r="I7" s="249"/>
      <c r="J7" s="249"/>
      <c r="K7" s="247"/>
      <c r="M7" s="40"/>
    </row>
    <row r="8" spans="1:13" ht="14.25" customHeight="1">
      <c r="A8" s="40"/>
      <c r="C8" s="234"/>
      <c r="D8" s="256" t="s">
        <v>109</v>
      </c>
      <c r="E8" s="257"/>
      <c r="F8" s="258"/>
      <c r="G8" s="263" t="s">
        <v>112</v>
      </c>
      <c r="H8" s="261">
        <f>計算表!C3</f>
        <v>7.2999999999999995E-2</v>
      </c>
      <c r="I8" s="261">
        <f>計算表!E3</f>
        <v>2.5999999999999999E-2</v>
      </c>
      <c r="J8" s="261">
        <f>計算表!G3</f>
        <v>2.4E-2</v>
      </c>
      <c r="K8" s="259">
        <f>計算表!I3</f>
        <v>3.0000000000000001E-3</v>
      </c>
      <c r="M8" s="40"/>
    </row>
    <row r="9" spans="1:13" ht="14.25" customHeight="1">
      <c r="A9" s="40"/>
      <c r="C9" s="234"/>
      <c r="D9" s="253"/>
      <c r="E9" s="254"/>
      <c r="F9" s="255"/>
      <c r="G9" s="264"/>
      <c r="H9" s="262"/>
      <c r="I9" s="262"/>
      <c r="J9" s="262"/>
      <c r="K9" s="260"/>
      <c r="M9" s="40"/>
    </row>
    <row r="10" spans="1:13" ht="14.25" customHeight="1">
      <c r="A10" s="40"/>
      <c r="C10" s="234"/>
      <c r="D10" s="210" t="s">
        <v>110</v>
      </c>
      <c r="E10" s="210"/>
      <c r="F10" s="210"/>
      <c r="G10" s="215" t="s">
        <v>113</v>
      </c>
      <c r="H10" s="278">
        <f>計算表!C48</f>
        <v>0</v>
      </c>
      <c r="I10" s="278">
        <f>計算表!C49</f>
        <v>0</v>
      </c>
      <c r="J10" s="278">
        <f>計算表!C50</f>
        <v>0</v>
      </c>
      <c r="K10" s="280">
        <f>計算表!C51</f>
        <v>0</v>
      </c>
      <c r="M10" s="40"/>
    </row>
    <row r="11" spans="1:13" ht="14.25" customHeight="1" thickBot="1">
      <c r="A11" s="40"/>
      <c r="C11" s="235"/>
      <c r="D11" s="217" t="s">
        <v>134</v>
      </c>
      <c r="E11" s="217"/>
      <c r="F11" s="217"/>
      <c r="G11" s="216"/>
      <c r="H11" s="279"/>
      <c r="I11" s="279"/>
      <c r="J11" s="279"/>
      <c r="K11" s="281"/>
      <c r="M11" s="40"/>
    </row>
    <row r="12" spans="1:13" ht="14.25" customHeight="1">
      <c r="A12" s="40"/>
      <c r="C12" s="230" t="s">
        <v>125</v>
      </c>
      <c r="D12" s="218" t="s">
        <v>116</v>
      </c>
      <c r="E12" s="219"/>
      <c r="F12" s="220"/>
      <c r="G12" s="209" t="s">
        <v>117</v>
      </c>
      <c r="H12" s="276">
        <f>計算表!C11</f>
        <v>0</v>
      </c>
      <c r="I12" s="276">
        <f>計算表!C11</f>
        <v>0</v>
      </c>
      <c r="J12" s="276">
        <f>計算表!C12</f>
        <v>0</v>
      </c>
      <c r="K12" s="274">
        <f>計算表!C11</f>
        <v>0</v>
      </c>
      <c r="L12" s="83"/>
      <c r="M12" s="40"/>
    </row>
    <row r="13" spans="1:13" ht="14.25" customHeight="1">
      <c r="A13" s="40"/>
      <c r="C13" s="231"/>
      <c r="D13" s="221"/>
      <c r="E13" s="222"/>
      <c r="F13" s="223"/>
      <c r="G13" s="208"/>
      <c r="H13" s="277"/>
      <c r="I13" s="277"/>
      <c r="J13" s="277"/>
      <c r="K13" s="275"/>
      <c r="M13" s="40"/>
    </row>
    <row r="14" spans="1:13" ht="14.25" customHeight="1">
      <c r="A14" s="40"/>
      <c r="C14" s="231"/>
      <c r="D14" s="224" t="s">
        <v>138</v>
      </c>
      <c r="E14" s="225"/>
      <c r="F14" s="226"/>
      <c r="G14" s="207" t="s">
        <v>118</v>
      </c>
      <c r="H14" s="266">
        <f>計算表!C5</f>
        <v>27800</v>
      </c>
      <c r="I14" s="266">
        <f>計算表!E5</f>
        <v>9800</v>
      </c>
      <c r="J14" s="266">
        <f>計算表!G5</f>
        <v>11900</v>
      </c>
      <c r="K14" s="268">
        <f>計算表!I5</f>
        <v>1200</v>
      </c>
      <c r="L14" s="83"/>
      <c r="M14" s="40"/>
    </row>
    <row r="15" spans="1:13" ht="14.25" customHeight="1">
      <c r="A15" s="40"/>
      <c r="C15" s="231"/>
      <c r="D15" s="221"/>
      <c r="E15" s="222"/>
      <c r="F15" s="223"/>
      <c r="G15" s="208"/>
      <c r="H15" s="267"/>
      <c r="I15" s="267"/>
      <c r="J15" s="267"/>
      <c r="K15" s="269"/>
      <c r="M15" s="40"/>
    </row>
    <row r="16" spans="1:13" ht="14.25" customHeight="1">
      <c r="A16" s="40"/>
      <c r="C16" s="231"/>
      <c r="D16" s="236" t="s">
        <v>106</v>
      </c>
      <c r="E16" s="236"/>
      <c r="F16" s="236"/>
      <c r="G16" s="207" t="s">
        <v>119</v>
      </c>
      <c r="H16" s="266">
        <f>計算表!C26</f>
        <v>0</v>
      </c>
      <c r="I16" s="266">
        <f>計算表!E26</f>
        <v>0</v>
      </c>
      <c r="J16" s="266">
        <f>計算表!G26</f>
        <v>0</v>
      </c>
      <c r="K16" s="268">
        <f>計算表!I26</f>
        <v>0</v>
      </c>
      <c r="L16" s="83"/>
      <c r="M16" s="40"/>
    </row>
    <row r="17" spans="1:13" ht="14.25" customHeight="1">
      <c r="A17" s="40"/>
      <c r="C17" s="231"/>
      <c r="D17" s="237" t="s">
        <v>139</v>
      </c>
      <c r="E17" s="238"/>
      <c r="F17" s="239"/>
      <c r="G17" s="208"/>
      <c r="H17" s="267"/>
      <c r="I17" s="267"/>
      <c r="J17" s="267"/>
      <c r="K17" s="269"/>
      <c r="M17" s="40"/>
    </row>
    <row r="18" spans="1:13" ht="14.25" customHeight="1">
      <c r="A18" s="40"/>
      <c r="C18" s="231"/>
      <c r="D18" s="100" t="s">
        <v>123</v>
      </c>
      <c r="E18" s="101" t="str">
        <f>計算表!K36</f>
        <v>７割</v>
      </c>
      <c r="F18" s="102" t="s">
        <v>124</v>
      </c>
      <c r="G18" s="207" t="s">
        <v>120</v>
      </c>
      <c r="H18" s="266">
        <f>計算表!C35</f>
        <v>0</v>
      </c>
      <c r="I18" s="266">
        <f>計算表!E35</f>
        <v>0</v>
      </c>
      <c r="J18" s="266">
        <f>計算表!G35</f>
        <v>0</v>
      </c>
      <c r="K18" s="268">
        <f>計算表!I35</f>
        <v>0</v>
      </c>
      <c r="L18" s="83"/>
      <c r="M18" s="40"/>
    </row>
    <row r="19" spans="1:13" ht="14.25" customHeight="1">
      <c r="A19" s="40"/>
      <c r="C19" s="231"/>
      <c r="D19" s="227" t="s">
        <v>140</v>
      </c>
      <c r="E19" s="228"/>
      <c r="F19" s="228"/>
      <c r="G19" s="208"/>
      <c r="H19" s="267"/>
      <c r="I19" s="267"/>
      <c r="J19" s="267"/>
      <c r="K19" s="269"/>
      <c r="M19" s="40"/>
    </row>
    <row r="20" spans="1:13" ht="14.25" customHeight="1">
      <c r="A20" s="40"/>
      <c r="C20" s="231"/>
      <c r="D20" s="240" t="s">
        <v>189</v>
      </c>
      <c r="E20" s="241"/>
      <c r="F20" s="242"/>
      <c r="G20" s="207" t="s">
        <v>122</v>
      </c>
      <c r="H20" s="266">
        <f>計算表!C44</f>
        <v>0</v>
      </c>
      <c r="I20" s="266">
        <f>計算表!E44</f>
        <v>0</v>
      </c>
      <c r="J20" s="266">
        <f>計算表!G37</f>
        <v>0</v>
      </c>
      <c r="K20" s="268">
        <f>計算表!I37</f>
        <v>0</v>
      </c>
      <c r="M20" s="40"/>
    </row>
    <row r="21" spans="1:13" ht="14.25" customHeight="1">
      <c r="A21" s="40"/>
      <c r="C21" s="231"/>
      <c r="D21" s="243"/>
      <c r="E21" s="244"/>
      <c r="F21" s="245"/>
      <c r="G21" s="208"/>
      <c r="H21" s="267"/>
      <c r="I21" s="267"/>
      <c r="J21" s="267"/>
      <c r="K21" s="269"/>
      <c r="M21" s="40"/>
    </row>
    <row r="22" spans="1:13" ht="14.25" customHeight="1">
      <c r="A22" s="40"/>
      <c r="C22" s="231"/>
      <c r="D22" s="211" t="s">
        <v>114</v>
      </c>
      <c r="E22" s="211"/>
      <c r="F22" s="211"/>
      <c r="G22" s="205" t="s">
        <v>192</v>
      </c>
      <c r="H22" s="286">
        <f>計算表!D48</f>
        <v>0</v>
      </c>
      <c r="I22" s="286">
        <f>計算表!D49</f>
        <v>0</v>
      </c>
      <c r="J22" s="286">
        <f>計算表!D50</f>
        <v>0</v>
      </c>
      <c r="K22" s="284">
        <f>計算表!D51</f>
        <v>0</v>
      </c>
      <c r="L22" s="83"/>
      <c r="M22" s="40"/>
    </row>
    <row r="23" spans="1:13" ht="14.25" customHeight="1" thickBot="1">
      <c r="A23" s="40"/>
      <c r="C23" s="232"/>
      <c r="D23" s="229" t="s">
        <v>191</v>
      </c>
      <c r="E23" s="229"/>
      <c r="F23" s="229"/>
      <c r="G23" s="206"/>
      <c r="H23" s="287"/>
      <c r="I23" s="287"/>
      <c r="J23" s="287"/>
      <c r="K23" s="285"/>
      <c r="M23" s="40"/>
    </row>
    <row r="24" spans="1:13" ht="14.25" customHeight="1">
      <c r="A24" s="40"/>
      <c r="C24" s="230" t="s">
        <v>180</v>
      </c>
      <c r="D24" s="218" t="s">
        <v>116</v>
      </c>
      <c r="E24" s="219"/>
      <c r="F24" s="220"/>
      <c r="G24" s="209" t="s">
        <v>193</v>
      </c>
      <c r="H24" s="276"/>
      <c r="I24" s="276"/>
      <c r="J24" s="276"/>
      <c r="K24" s="274">
        <f>計算表!C21</f>
        <v>0</v>
      </c>
      <c r="L24" s="83"/>
      <c r="M24" s="40"/>
    </row>
    <row r="25" spans="1:13" ht="14.25" customHeight="1">
      <c r="A25" s="40"/>
      <c r="C25" s="231"/>
      <c r="D25" s="221"/>
      <c r="E25" s="222"/>
      <c r="F25" s="223"/>
      <c r="G25" s="208"/>
      <c r="H25" s="277"/>
      <c r="I25" s="277"/>
      <c r="J25" s="277"/>
      <c r="K25" s="275"/>
      <c r="M25" s="40"/>
    </row>
    <row r="26" spans="1:13" ht="14.25" customHeight="1">
      <c r="A26" s="40"/>
      <c r="C26" s="231"/>
      <c r="D26" s="224" t="s">
        <v>138</v>
      </c>
      <c r="E26" s="225"/>
      <c r="F26" s="226"/>
      <c r="G26" s="207" t="s">
        <v>194</v>
      </c>
      <c r="H26" s="266"/>
      <c r="I26" s="266"/>
      <c r="J26" s="266"/>
      <c r="K26" s="268">
        <f>計算表!I6</f>
        <v>100</v>
      </c>
      <c r="L26" s="83"/>
      <c r="M26" s="40"/>
    </row>
    <row r="27" spans="1:13" ht="14.25" customHeight="1">
      <c r="A27" s="40"/>
      <c r="C27" s="231"/>
      <c r="D27" s="221"/>
      <c r="E27" s="222"/>
      <c r="F27" s="223"/>
      <c r="G27" s="208"/>
      <c r="H27" s="267"/>
      <c r="I27" s="267"/>
      <c r="J27" s="267"/>
      <c r="K27" s="269"/>
      <c r="M27" s="40"/>
    </row>
    <row r="28" spans="1:13" ht="14.25" customHeight="1">
      <c r="A28" s="40"/>
      <c r="C28" s="231"/>
      <c r="D28" s="236" t="s">
        <v>106</v>
      </c>
      <c r="E28" s="236"/>
      <c r="F28" s="236"/>
      <c r="G28" s="207" t="s">
        <v>195</v>
      </c>
      <c r="H28" s="266"/>
      <c r="I28" s="266"/>
      <c r="J28" s="266"/>
      <c r="K28" s="268">
        <f>計算表!J26</f>
        <v>0</v>
      </c>
      <c r="L28" s="83"/>
      <c r="M28" s="40"/>
    </row>
    <row r="29" spans="1:13" ht="14.25" customHeight="1">
      <c r="A29" s="40"/>
      <c r="C29" s="231"/>
      <c r="D29" s="237" t="s">
        <v>205</v>
      </c>
      <c r="E29" s="238"/>
      <c r="F29" s="239"/>
      <c r="G29" s="208"/>
      <c r="H29" s="267"/>
      <c r="I29" s="267"/>
      <c r="J29" s="267"/>
      <c r="K29" s="269"/>
      <c r="M29" s="40"/>
    </row>
    <row r="30" spans="1:13" ht="14.25" customHeight="1">
      <c r="A30" s="40"/>
      <c r="C30" s="231"/>
      <c r="D30" s="100" t="s">
        <v>123</v>
      </c>
      <c r="E30" s="101" t="str">
        <f>計算表!K36</f>
        <v>７割</v>
      </c>
      <c r="F30" s="102" t="s">
        <v>124</v>
      </c>
      <c r="G30" s="207" t="s">
        <v>196</v>
      </c>
      <c r="H30" s="266"/>
      <c r="I30" s="266"/>
      <c r="J30" s="266"/>
      <c r="K30" s="268">
        <f>計算表!J35</f>
        <v>0</v>
      </c>
      <c r="L30" s="83"/>
      <c r="M30" s="40"/>
    </row>
    <row r="31" spans="1:13" ht="14.25" customHeight="1">
      <c r="A31" s="40"/>
      <c r="C31" s="231"/>
      <c r="D31" s="227" t="s">
        <v>206</v>
      </c>
      <c r="E31" s="228"/>
      <c r="F31" s="228"/>
      <c r="G31" s="208"/>
      <c r="H31" s="267"/>
      <c r="I31" s="267"/>
      <c r="J31" s="267"/>
      <c r="K31" s="269"/>
      <c r="M31" s="40"/>
    </row>
    <row r="32" spans="1:13" ht="14.25" customHeight="1">
      <c r="A32" s="40"/>
      <c r="C32" s="231"/>
      <c r="D32" s="211" t="s">
        <v>114</v>
      </c>
      <c r="E32" s="211"/>
      <c r="F32" s="211"/>
      <c r="G32" s="205" t="s">
        <v>197</v>
      </c>
      <c r="H32" s="286">
        <v>0</v>
      </c>
      <c r="I32" s="286">
        <v>0</v>
      </c>
      <c r="J32" s="286">
        <v>0</v>
      </c>
      <c r="K32" s="284">
        <f>計算表!E51</f>
        <v>0</v>
      </c>
      <c r="L32" s="83"/>
      <c r="M32" s="40"/>
    </row>
    <row r="33" spans="1:13" ht="14.25" customHeight="1" thickBot="1">
      <c r="A33" s="40"/>
      <c r="C33" s="232"/>
      <c r="D33" s="229" t="s">
        <v>204</v>
      </c>
      <c r="E33" s="229"/>
      <c r="F33" s="229"/>
      <c r="G33" s="206"/>
      <c r="H33" s="287"/>
      <c r="I33" s="287"/>
      <c r="J33" s="287"/>
      <c r="K33" s="285"/>
      <c r="M33" s="40"/>
    </row>
    <row r="34" spans="1:13" ht="14.25" customHeight="1">
      <c r="A34" s="40"/>
      <c r="C34" s="337" t="s">
        <v>121</v>
      </c>
      <c r="D34" s="293" t="s">
        <v>107</v>
      </c>
      <c r="E34" s="294"/>
      <c r="F34" s="295"/>
      <c r="G34" s="288" t="s">
        <v>198</v>
      </c>
      <c r="H34" s="283">
        <f>計算表!C6</f>
        <v>22500</v>
      </c>
      <c r="I34" s="283">
        <f>計算表!E6</f>
        <v>7700</v>
      </c>
      <c r="J34" s="283">
        <f>計算表!H26</f>
        <v>0</v>
      </c>
      <c r="K34" s="282">
        <f>計算表!I7</f>
        <v>800</v>
      </c>
      <c r="L34" s="83"/>
      <c r="M34" s="40"/>
    </row>
    <row r="35" spans="1:13" ht="14.25" customHeight="1">
      <c r="A35" s="40"/>
      <c r="C35" s="338"/>
      <c r="D35" s="296"/>
      <c r="E35" s="297"/>
      <c r="F35" s="298"/>
      <c r="G35" s="289"/>
      <c r="H35" s="271"/>
      <c r="I35" s="271"/>
      <c r="J35" s="271"/>
      <c r="K35" s="273"/>
      <c r="M35" s="40"/>
    </row>
    <row r="36" spans="1:13" ht="14.25" customHeight="1">
      <c r="A36" s="40"/>
      <c r="C36" s="338"/>
      <c r="D36" s="84" t="s">
        <v>123</v>
      </c>
      <c r="E36" s="85" t="str">
        <f>計算表!K36</f>
        <v>７割</v>
      </c>
      <c r="F36" s="86" t="s">
        <v>124</v>
      </c>
      <c r="G36" s="301" t="s">
        <v>199</v>
      </c>
      <c r="H36" s="270">
        <f>計算表!D35</f>
        <v>15750</v>
      </c>
      <c r="I36" s="270">
        <f>計算表!F35</f>
        <v>5390</v>
      </c>
      <c r="J36" s="270">
        <f>計算表!H35</f>
        <v>0</v>
      </c>
      <c r="K36" s="272">
        <f>計算表!K35</f>
        <v>560</v>
      </c>
      <c r="L36" s="83"/>
      <c r="M36" s="40"/>
    </row>
    <row r="37" spans="1:13" ht="14.25" customHeight="1">
      <c r="A37" s="40"/>
      <c r="C37" s="338"/>
      <c r="D37" s="334" t="s">
        <v>207</v>
      </c>
      <c r="E37" s="335"/>
      <c r="F37" s="336"/>
      <c r="G37" s="289"/>
      <c r="H37" s="271"/>
      <c r="I37" s="271"/>
      <c r="J37" s="271"/>
      <c r="K37" s="273"/>
      <c r="M37" s="40"/>
    </row>
    <row r="38" spans="1:13" ht="14.25" customHeight="1">
      <c r="A38" s="40"/>
      <c r="C38" s="338"/>
      <c r="D38" s="340" t="s">
        <v>114</v>
      </c>
      <c r="E38" s="341"/>
      <c r="F38" s="342"/>
      <c r="G38" s="299" t="s">
        <v>200</v>
      </c>
      <c r="H38" s="324">
        <f>計算表!F48</f>
        <v>6750</v>
      </c>
      <c r="I38" s="324">
        <f>計算表!F49</f>
        <v>2310</v>
      </c>
      <c r="J38" s="324">
        <f>計算表!F50</f>
        <v>0</v>
      </c>
      <c r="K38" s="322">
        <f>計算表!F51</f>
        <v>240</v>
      </c>
      <c r="L38" s="83"/>
      <c r="M38" s="40"/>
    </row>
    <row r="39" spans="1:13" ht="14.25" customHeight="1" thickBot="1">
      <c r="A39" s="40"/>
      <c r="C39" s="339"/>
      <c r="D39" s="290" t="s">
        <v>208</v>
      </c>
      <c r="E39" s="291"/>
      <c r="F39" s="292"/>
      <c r="G39" s="300"/>
      <c r="H39" s="325"/>
      <c r="I39" s="325"/>
      <c r="J39" s="325"/>
      <c r="K39" s="323"/>
      <c r="M39" s="40"/>
    </row>
    <row r="40" spans="1:13" ht="14.25" customHeight="1">
      <c r="A40" s="40"/>
      <c r="C40" s="343" t="s">
        <v>127</v>
      </c>
      <c r="D40" s="344"/>
      <c r="E40" s="344"/>
      <c r="F40" s="345"/>
      <c r="G40" s="332" t="s">
        <v>201</v>
      </c>
      <c r="H40" s="319">
        <f>計算表!G48</f>
        <v>6700</v>
      </c>
      <c r="I40" s="319">
        <f>計算表!G49</f>
        <v>2300</v>
      </c>
      <c r="J40" s="319">
        <f>計算表!G50</f>
        <v>0</v>
      </c>
      <c r="K40" s="319">
        <f>計算表!G51</f>
        <v>200</v>
      </c>
      <c r="L40" s="83"/>
      <c r="M40" s="40"/>
    </row>
    <row r="41" spans="1:13" ht="14.25" customHeight="1">
      <c r="A41" s="40"/>
      <c r="C41" s="329" t="s">
        <v>209</v>
      </c>
      <c r="D41" s="330"/>
      <c r="E41" s="330"/>
      <c r="F41" s="331"/>
      <c r="G41" s="333"/>
      <c r="H41" s="318"/>
      <c r="I41" s="318"/>
      <c r="J41" s="318"/>
      <c r="K41" s="318"/>
      <c r="M41" s="40"/>
    </row>
    <row r="42" spans="1:13" ht="14.25" customHeight="1">
      <c r="A42" s="40"/>
      <c r="C42" s="346" t="s">
        <v>132</v>
      </c>
      <c r="D42" s="347"/>
      <c r="E42" s="347"/>
      <c r="F42" s="348"/>
      <c r="G42" s="320" t="s">
        <v>202</v>
      </c>
      <c r="H42" s="317">
        <f>計算表!C7</f>
        <v>670000</v>
      </c>
      <c r="I42" s="317">
        <f>計算表!E7</f>
        <v>260000</v>
      </c>
      <c r="J42" s="317">
        <f>計算表!G7</f>
        <v>170000</v>
      </c>
      <c r="K42" s="317">
        <f>計算表!I8</f>
        <v>30000</v>
      </c>
      <c r="L42" s="83"/>
      <c r="M42" s="40"/>
    </row>
    <row r="43" spans="1:13" ht="14.25" customHeight="1">
      <c r="A43" s="40"/>
      <c r="C43" s="349"/>
      <c r="D43" s="350"/>
      <c r="E43" s="350"/>
      <c r="F43" s="351"/>
      <c r="G43" s="321"/>
      <c r="H43" s="318"/>
      <c r="I43" s="318"/>
      <c r="J43" s="318"/>
      <c r="K43" s="318"/>
      <c r="M43" s="40"/>
    </row>
    <row r="44" spans="1:13" ht="14.25" customHeight="1">
      <c r="A44" s="40"/>
      <c r="C44" s="311" t="s">
        <v>133</v>
      </c>
      <c r="D44" s="312"/>
      <c r="E44" s="312"/>
      <c r="F44" s="313"/>
      <c r="G44" s="308" t="s">
        <v>203</v>
      </c>
      <c r="H44" s="309">
        <f>計算表!I48</f>
        <v>6700</v>
      </c>
      <c r="I44" s="309">
        <f>計算表!I49</f>
        <v>2300</v>
      </c>
      <c r="J44" s="309">
        <f>計算表!I50</f>
        <v>0</v>
      </c>
      <c r="K44" s="309">
        <f>計算表!I51</f>
        <v>200</v>
      </c>
      <c r="L44" s="83"/>
      <c r="M44" s="40"/>
    </row>
    <row r="45" spans="1:13" ht="14.25" customHeight="1" thickBot="1">
      <c r="A45" s="40"/>
      <c r="C45" s="314"/>
      <c r="D45" s="315"/>
      <c r="E45" s="315"/>
      <c r="F45" s="316"/>
      <c r="G45" s="308"/>
      <c r="H45" s="310"/>
      <c r="I45" s="310"/>
      <c r="J45" s="310"/>
      <c r="K45" s="310"/>
      <c r="M45" s="40"/>
    </row>
    <row r="46" spans="1:13" ht="29.25" customHeight="1" thickTop="1" thickBot="1">
      <c r="A46" s="40"/>
      <c r="H46" s="87" t="s">
        <v>146</v>
      </c>
      <c r="I46" s="302">
        <f>計算表!I52</f>
        <v>9200</v>
      </c>
      <c r="J46" s="303"/>
      <c r="K46" s="304"/>
      <c r="M46" s="40"/>
    </row>
    <row r="47" spans="1:13" ht="18.75" customHeight="1" thickTop="1" thickBot="1">
      <c r="A47" s="40"/>
      <c r="M47" s="40"/>
    </row>
    <row r="48" spans="1:13" ht="18.75" customHeight="1">
      <c r="A48" s="40"/>
      <c r="B48" s="162" t="s">
        <v>168</v>
      </c>
      <c r="C48" s="89"/>
      <c r="D48" s="89"/>
      <c r="E48" s="89"/>
      <c r="F48" s="89"/>
      <c r="G48" s="90"/>
      <c r="H48" s="89"/>
      <c r="I48" s="89"/>
      <c r="J48" s="89"/>
      <c r="K48" s="89"/>
      <c r="L48" s="91"/>
      <c r="M48" s="40"/>
    </row>
    <row r="49" spans="1:13" ht="18.75" customHeight="1">
      <c r="A49" s="40"/>
      <c r="B49" s="163" t="s">
        <v>212</v>
      </c>
      <c r="C49" s="93"/>
      <c r="D49" s="93"/>
      <c r="E49" s="93"/>
      <c r="F49" s="93"/>
      <c r="G49" s="94"/>
      <c r="H49" s="93"/>
      <c r="I49" s="93"/>
      <c r="J49" s="93"/>
      <c r="K49" s="93"/>
      <c r="L49" s="95"/>
      <c r="M49" s="40"/>
    </row>
    <row r="50" spans="1:13" ht="15" customHeight="1">
      <c r="A50" s="40"/>
      <c r="B50" s="92"/>
      <c r="C50" s="326" t="s">
        <v>141</v>
      </c>
      <c r="D50" s="327"/>
      <c r="E50" s="327"/>
      <c r="F50" s="327"/>
      <c r="G50" s="327"/>
      <c r="H50" s="327"/>
      <c r="I50" s="327"/>
      <c r="J50" s="328"/>
      <c r="K50" s="148" t="s">
        <v>115</v>
      </c>
      <c r="L50" s="95"/>
      <c r="M50" s="40"/>
    </row>
    <row r="51" spans="1:13" ht="15" customHeight="1">
      <c r="A51" s="40"/>
      <c r="B51" s="92"/>
      <c r="C51" s="179" t="str">
        <f>計算表!F12/10000&amp;"万円＋10万円×（給与所得者等の数－1）"</f>
        <v>43万円＋10万円×（給与所得者等の数－1）</v>
      </c>
      <c r="D51" s="204"/>
      <c r="E51" s="204"/>
      <c r="F51" s="204"/>
      <c r="G51" s="204"/>
      <c r="H51" s="204"/>
      <c r="I51" s="204"/>
      <c r="J51" s="180"/>
      <c r="K51" s="96" t="s">
        <v>142</v>
      </c>
      <c r="L51" s="95"/>
      <c r="M51" s="40"/>
    </row>
    <row r="52" spans="1:13" ht="15" customHeight="1">
      <c r="A52" s="40"/>
      <c r="B52" s="92"/>
      <c r="C52" s="305" t="str">
        <f>計算表!F13/10000&amp;"万円＋（国保加入者数×"&amp;計算表!G13/10000&amp;"万円）＋10万円×（給与所得者等の数－1）"</f>
        <v>43万円＋（国保加入者数×31万円）＋10万円×（給与所得者等の数－1）</v>
      </c>
      <c r="D52" s="306"/>
      <c r="E52" s="306"/>
      <c r="F52" s="306"/>
      <c r="G52" s="306"/>
      <c r="H52" s="306"/>
      <c r="I52" s="306"/>
      <c r="J52" s="307"/>
      <c r="K52" s="96" t="s">
        <v>143</v>
      </c>
      <c r="L52" s="95"/>
      <c r="M52" s="40"/>
    </row>
    <row r="53" spans="1:13" ht="15" customHeight="1">
      <c r="A53" s="40"/>
      <c r="B53" s="92"/>
      <c r="C53" s="305" t="str">
        <f>計算表!F14/10000&amp;"万円＋（国保加入者数×"&amp;計算表!G14/10000&amp;"万円）＋10万円×（給与所得者等の数－1）"</f>
        <v>43万円＋（国保加入者数×57万円）＋10万円×（給与所得者等の数－1）</v>
      </c>
      <c r="D53" s="306"/>
      <c r="E53" s="306"/>
      <c r="F53" s="306"/>
      <c r="G53" s="306"/>
      <c r="H53" s="306"/>
      <c r="I53" s="306"/>
      <c r="J53" s="307"/>
      <c r="K53" s="96" t="s">
        <v>144</v>
      </c>
      <c r="L53" s="95"/>
      <c r="M53" s="40"/>
    </row>
    <row r="54" spans="1:13" ht="18.75" customHeight="1">
      <c r="A54" s="40"/>
      <c r="B54" s="163" t="s">
        <v>184</v>
      </c>
      <c r="C54" s="93"/>
      <c r="K54" s="93"/>
      <c r="L54" s="95"/>
      <c r="M54" s="40"/>
    </row>
    <row r="55" spans="1:13" ht="18.75" customHeight="1">
      <c r="A55" s="40"/>
      <c r="B55" s="163" t="s">
        <v>210</v>
      </c>
      <c r="C55" s="93"/>
      <c r="K55" s="93"/>
      <c r="L55" s="95"/>
      <c r="M55" s="40"/>
    </row>
    <row r="56" spans="1:13" ht="18.75" customHeight="1">
      <c r="A56" s="40"/>
      <c r="B56" s="163" t="s">
        <v>182</v>
      </c>
      <c r="C56" s="93"/>
      <c r="K56" s="93"/>
      <c r="L56" s="95"/>
      <c r="M56" s="40"/>
    </row>
    <row r="57" spans="1:13" ht="18.75" customHeight="1">
      <c r="A57" s="40"/>
      <c r="B57" s="163" t="s">
        <v>183</v>
      </c>
      <c r="C57" s="93"/>
      <c r="K57" s="93"/>
      <c r="L57" s="95"/>
      <c r="M57" s="40"/>
    </row>
    <row r="58" spans="1:13" ht="18.75" customHeight="1" thickBot="1">
      <c r="A58" s="40"/>
      <c r="B58" s="164" t="s">
        <v>211</v>
      </c>
      <c r="C58" s="97"/>
      <c r="D58" s="97"/>
      <c r="E58" s="97"/>
      <c r="F58" s="97"/>
      <c r="G58" s="98"/>
      <c r="H58" s="97"/>
      <c r="I58" s="97"/>
      <c r="J58" s="97"/>
      <c r="K58" s="97"/>
      <c r="L58" s="99"/>
      <c r="M58" s="40"/>
    </row>
    <row r="59" spans="1:13" ht="18.75" customHeight="1">
      <c r="A59" s="40"/>
      <c r="B59" s="40"/>
      <c r="C59" s="40"/>
      <c r="D59" s="40"/>
      <c r="E59" s="40"/>
      <c r="F59" s="40"/>
      <c r="G59" s="79"/>
      <c r="H59" s="40"/>
      <c r="I59" s="40"/>
      <c r="J59" s="40"/>
      <c r="K59" s="40"/>
      <c r="L59" s="40"/>
      <c r="M59" s="40"/>
    </row>
  </sheetData>
  <mergeCells count="138">
    <mergeCell ref="C50:J50"/>
    <mergeCell ref="H30:H31"/>
    <mergeCell ref="I30:I31"/>
    <mergeCell ref="J30:J31"/>
    <mergeCell ref="K30:K31"/>
    <mergeCell ref="D31:F31"/>
    <mergeCell ref="D32:F32"/>
    <mergeCell ref="D33:F33"/>
    <mergeCell ref="C24:C33"/>
    <mergeCell ref="G30:G31"/>
    <mergeCell ref="G32:G33"/>
    <mergeCell ref="C41:F41"/>
    <mergeCell ref="G40:G41"/>
    <mergeCell ref="H40:H41"/>
    <mergeCell ref="H42:H43"/>
    <mergeCell ref="D37:F37"/>
    <mergeCell ref="C34:C39"/>
    <mergeCell ref="D38:F38"/>
    <mergeCell ref="C40:F40"/>
    <mergeCell ref="C42:F43"/>
    <mergeCell ref="D29:F29"/>
    <mergeCell ref="H24:H25"/>
    <mergeCell ref="I24:I25"/>
    <mergeCell ref="J24:J25"/>
    <mergeCell ref="K24:K25"/>
    <mergeCell ref="D26:F27"/>
    <mergeCell ref="G26:G27"/>
    <mergeCell ref="H26:H27"/>
    <mergeCell ref="I26:I27"/>
    <mergeCell ref="J26:J27"/>
    <mergeCell ref="K26:K27"/>
    <mergeCell ref="D24:F25"/>
    <mergeCell ref="G24:G25"/>
    <mergeCell ref="D28:F28"/>
    <mergeCell ref="G28:G29"/>
    <mergeCell ref="J38:J39"/>
    <mergeCell ref="J40:J41"/>
    <mergeCell ref="J10:J11"/>
    <mergeCell ref="J12:J13"/>
    <mergeCell ref="J14:J15"/>
    <mergeCell ref="J16:J17"/>
    <mergeCell ref="J18:J19"/>
    <mergeCell ref="H28:H29"/>
    <mergeCell ref="I28:I29"/>
    <mergeCell ref="J28:J29"/>
    <mergeCell ref="H32:H33"/>
    <mergeCell ref="I32:I33"/>
    <mergeCell ref="J32:J33"/>
    <mergeCell ref="D39:F39"/>
    <mergeCell ref="D34:F35"/>
    <mergeCell ref="G38:G39"/>
    <mergeCell ref="G36:G37"/>
    <mergeCell ref="I46:K46"/>
    <mergeCell ref="C51:J51"/>
    <mergeCell ref="C52:J52"/>
    <mergeCell ref="C53:J53"/>
    <mergeCell ref="G44:G45"/>
    <mergeCell ref="H44:H45"/>
    <mergeCell ref="I44:I45"/>
    <mergeCell ref="K44:K45"/>
    <mergeCell ref="C44:F45"/>
    <mergeCell ref="J44:J45"/>
    <mergeCell ref="I42:I43"/>
    <mergeCell ref="K42:K43"/>
    <mergeCell ref="K40:K41"/>
    <mergeCell ref="I40:I41"/>
    <mergeCell ref="G42:G43"/>
    <mergeCell ref="J42:J43"/>
    <mergeCell ref="K38:K39"/>
    <mergeCell ref="I38:I39"/>
    <mergeCell ref="H38:H39"/>
    <mergeCell ref="J34:J35"/>
    <mergeCell ref="K12:K13"/>
    <mergeCell ref="I12:I13"/>
    <mergeCell ref="H12:H13"/>
    <mergeCell ref="H10:H11"/>
    <mergeCell ref="I10:I11"/>
    <mergeCell ref="K10:K11"/>
    <mergeCell ref="I16:I17"/>
    <mergeCell ref="K16:K17"/>
    <mergeCell ref="K34:K35"/>
    <mergeCell ref="I34:I35"/>
    <mergeCell ref="H34:H35"/>
    <mergeCell ref="K22:K23"/>
    <mergeCell ref="I22:I23"/>
    <mergeCell ref="H22:H23"/>
    <mergeCell ref="K18:K19"/>
    <mergeCell ref="I18:I19"/>
    <mergeCell ref="H18:H19"/>
    <mergeCell ref="H16:H17"/>
    <mergeCell ref="J22:J23"/>
    <mergeCell ref="K28:K29"/>
    <mergeCell ref="K32:K33"/>
    <mergeCell ref="H20:H21"/>
    <mergeCell ref="I20:I21"/>
    <mergeCell ref="J20:J21"/>
    <mergeCell ref="K20:K21"/>
    <mergeCell ref="G20:G21"/>
    <mergeCell ref="I36:I37"/>
    <mergeCell ref="K36:K37"/>
    <mergeCell ref="K14:K15"/>
    <mergeCell ref="I14:I15"/>
    <mergeCell ref="H14:H15"/>
    <mergeCell ref="H36:H37"/>
    <mergeCell ref="G34:G35"/>
    <mergeCell ref="J36:J37"/>
    <mergeCell ref="K6:K7"/>
    <mergeCell ref="I6:I7"/>
    <mergeCell ref="H6:H7"/>
    <mergeCell ref="D6:F7"/>
    <mergeCell ref="D8:F9"/>
    <mergeCell ref="K8:K9"/>
    <mergeCell ref="I8:I9"/>
    <mergeCell ref="H8:H9"/>
    <mergeCell ref="G8:G9"/>
    <mergeCell ref="G6:G7"/>
    <mergeCell ref="J6:J7"/>
    <mergeCell ref="J8:J9"/>
    <mergeCell ref="C4:G4"/>
    <mergeCell ref="G22:G23"/>
    <mergeCell ref="G18:G19"/>
    <mergeCell ref="G14:G15"/>
    <mergeCell ref="G12:G13"/>
    <mergeCell ref="D10:F10"/>
    <mergeCell ref="D22:F22"/>
    <mergeCell ref="C5:G5"/>
    <mergeCell ref="G10:G11"/>
    <mergeCell ref="D11:F11"/>
    <mergeCell ref="D12:F13"/>
    <mergeCell ref="D14:F15"/>
    <mergeCell ref="D19:F19"/>
    <mergeCell ref="D23:F23"/>
    <mergeCell ref="C12:C23"/>
    <mergeCell ref="C6:C11"/>
    <mergeCell ref="D16:F16"/>
    <mergeCell ref="D17:F17"/>
    <mergeCell ref="G16:G17"/>
    <mergeCell ref="D20:F21"/>
  </mergeCells>
  <phoneticPr fontId="2"/>
  <printOptions horizontalCentered="1"/>
  <pageMargins left="0.47244094488188981" right="0.39370078740157483" top="0.19685039370078741" bottom="0.15748031496062992" header="0.51181102362204722" footer="0.27559055118110237"/>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tabColor rgb="FFFF0000"/>
  </sheetPr>
  <dimension ref="A1:V212"/>
  <sheetViews>
    <sheetView zoomScaleNormal="100" workbookViewId="0">
      <selection activeCell="K26" sqref="I26:K26"/>
    </sheetView>
  </sheetViews>
  <sheetFormatPr defaultRowHeight="13.5"/>
  <cols>
    <col min="1" max="1" width="5.25" bestFit="1" customWidth="1"/>
    <col min="2" max="3" width="10.25" bestFit="1" customWidth="1"/>
    <col min="4" max="4" width="9" bestFit="1" customWidth="1"/>
    <col min="5" max="6" width="10.25" bestFit="1" customWidth="1"/>
    <col min="7" max="7" width="9" bestFit="1" customWidth="1"/>
    <col min="8" max="9" width="10.25" bestFit="1" customWidth="1"/>
    <col min="10" max="11" width="10.25" customWidth="1"/>
    <col min="12" max="12" width="15" bestFit="1" customWidth="1"/>
    <col min="13" max="13" width="15" style="14" customWidth="1"/>
    <col min="14" max="14" width="21.5" style="14" bestFit="1" customWidth="1"/>
    <col min="15" max="15" width="11.25" customWidth="1"/>
    <col min="16" max="16" width="11" customWidth="1"/>
    <col min="17" max="17" width="9.25" bestFit="1" customWidth="1"/>
    <col min="18" max="18" width="9.875" bestFit="1" customWidth="1"/>
    <col min="19" max="19" width="9" bestFit="1" customWidth="1"/>
    <col min="21" max="21" width="9" style="14"/>
  </cols>
  <sheetData>
    <row r="1" spans="1:9" s="14" customFormat="1" ht="14.25" thickBot="1">
      <c r="A1" s="6" t="s">
        <v>59</v>
      </c>
    </row>
    <row r="2" spans="1:9" ht="14.25" thickBot="1">
      <c r="B2" s="19" t="s">
        <v>22</v>
      </c>
      <c r="C2" s="20" t="s">
        <v>23</v>
      </c>
      <c r="D2" s="19" t="s">
        <v>22</v>
      </c>
      <c r="E2" s="20" t="s">
        <v>24</v>
      </c>
      <c r="F2" s="19" t="s">
        <v>22</v>
      </c>
      <c r="G2" s="21" t="s">
        <v>25</v>
      </c>
      <c r="H2" s="19" t="s">
        <v>22</v>
      </c>
      <c r="I2" s="21" t="s">
        <v>173</v>
      </c>
    </row>
    <row r="3" spans="1:9">
      <c r="B3" s="18" t="s">
        <v>26</v>
      </c>
      <c r="C3" s="23">
        <v>7.2999999999999995E-2</v>
      </c>
      <c r="D3" s="18" t="s">
        <v>26</v>
      </c>
      <c r="E3" s="23">
        <v>2.5999999999999999E-2</v>
      </c>
      <c r="F3" s="18" t="s">
        <v>26</v>
      </c>
      <c r="G3" s="23">
        <v>2.4E-2</v>
      </c>
      <c r="H3" s="18" t="s">
        <v>26</v>
      </c>
      <c r="I3" s="23">
        <v>3.0000000000000001E-3</v>
      </c>
    </row>
    <row r="4" spans="1:9">
      <c r="B4" s="16" t="s">
        <v>27</v>
      </c>
      <c r="C4" s="24"/>
      <c r="D4" s="16" t="s">
        <v>27</v>
      </c>
      <c r="E4" s="24"/>
      <c r="F4" s="16" t="s">
        <v>27</v>
      </c>
      <c r="G4" s="24"/>
      <c r="H4" s="16" t="s">
        <v>27</v>
      </c>
      <c r="I4" s="24"/>
    </row>
    <row r="5" spans="1:9">
      <c r="B5" s="16" t="s">
        <v>28</v>
      </c>
      <c r="C5" s="25">
        <v>27800</v>
      </c>
      <c r="D5" s="16" t="s">
        <v>28</v>
      </c>
      <c r="E5" s="25">
        <v>9800</v>
      </c>
      <c r="F5" s="16" t="s">
        <v>28</v>
      </c>
      <c r="G5" s="25">
        <v>11900</v>
      </c>
      <c r="H5" s="16" t="s">
        <v>28</v>
      </c>
      <c r="I5" s="25">
        <v>1200</v>
      </c>
    </row>
    <row r="6" spans="1:9">
      <c r="B6" s="16" t="s">
        <v>29</v>
      </c>
      <c r="C6" s="25">
        <v>22500</v>
      </c>
      <c r="D6" s="16" t="s">
        <v>29</v>
      </c>
      <c r="E6" s="25">
        <v>7700</v>
      </c>
      <c r="F6" s="16" t="s">
        <v>29</v>
      </c>
      <c r="G6" s="25">
        <v>6700</v>
      </c>
      <c r="H6" s="16" t="s">
        <v>174</v>
      </c>
      <c r="I6" s="25">
        <v>100</v>
      </c>
    </row>
    <row r="7" spans="1:9" ht="14.25" thickBot="1">
      <c r="B7" s="17" t="s">
        <v>30</v>
      </c>
      <c r="C7" s="26">
        <v>670000</v>
      </c>
      <c r="D7" s="17" t="s">
        <v>30</v>
      </c>
      <c r="E7" s="26">
        <v>260000</v>
      </c>
      <c r="F7" s="17" t="s">
        <v>30</v>
      </c>
      <c r="G7" s="26">
        <v>170000</v>
      </c>
      <c r="H7" s="16" t="s">
        <v>29</v>
      </c>
      <c r="I7" s="25">
        <v>800</v>
      </c>
    </row>
    <row r="8" spans="1:9" ht="14.25" thickBot="1">
      <c r="H8" s="17" t="s">
        <v>30</v>
      </c>
      <c r="I8" s="26">
        <v>30000</v>
      </c>
    </row>
    <row r="10" spans="1:9">
      <c r="A10" s="6" t="s">
        <v>100</v>
      </c>
      <c r="E10" s="6" t="s">
        <v>31</v>
      </c>
    </row>
    <row r="11" spans="1:9" ht="14.25" thickBot="1">
      <c r="B11" s="1" t="s">
        <v>14</v>
      </c>
      <c r="C11" s="1">
        <f>計算シート!D9</f>
        <v>0</v>
      </c>
      <c r="E11" t="s">
        <v>163</v>
      </c>
      <c r="F11" t="s">
        <v>164</v>
      </c>
      <c r="G11" t="s">
        <v>165</v>
      </c>
      <c r="H11" s="144" t="s">
        <v>166</v>
      </c>
    </row>
    <row r="12" spans="1:9">
      <c r="B12" s="15" t="s">
        <v>40</v>
      </c>
      <c r="C12" s="15">
        <f>SUM(R:R)</f>
        <v>0</v>
      </c>
      <c r="E12" s="34" t="s">
        <v>16</v>
      </c>
      <c r="F12" s="140">
        <v>430000</v>
      </c>
      <c r="G12" s="138"/>
      <c r="H12" s="141">
        <v>100000</v>
      </c>
    </row>
    <row r="13" spans="1:9">
      <c r="B13" s="15" t="s">
        <v>12</v>
      </c>
      <c r="C13" s="2">
        <f>SUM(O:O)</f>
        <v>0</v>
      </c>
      <c r="E13" s="35" t="s">
        <v>17</v>
      </c>
      <c r="F13" s="142">
        <v>430000</v>
      </c>
      <c r="G13" s="22">
        <v>310000</v>
      </c>
      <c r="H13" s="25">
        <v>100000</v>
      </c>
    </row>
    <row r="14" spans="1:9" ht="14.25" thickBot="1">
      <c r="B14" s="15" t="s">
        <v>11</v>
      </c>
      <c r="C14" s="2">
        <f>SUM(P:P)</f>
        <v>0</v>
      </c>
      <c r="E14" s="36" t="s">
        <v>15</v>
      </c>
      <c r="F14" s="143">
        <v>430000</v>
      </c>
      <c r="G14" s="139">
        <v>570000</v>
      </c>
      <c r="H14" s="26">
        <v>100000</v>
      </c>
    </row>
    <row r="15" spans="1:9" s="14" customFormat="1">
      <c r="B15" s="15" t="s">
        <v>39</v>
      </c>
      <c r="C15" s="2">
        <f>SUM(S:S)</f>
        <v>0</v>
      </c>
    </row>
    <row r="16" spans="1:9" s="14" customFormat="1">
      <c r="B16" s="1" t="s">
        <v>13</v>
      </c>
      <c r="C16" s="2">
        <f>SUM(Q:Q)</f>
        <v>0</v>
      </c>
    </row>
    <row r="17" spans="1:20" s="14" customFormat="1">
      <c r="B17" s="15" t="s">
        <v>86</v>
      </c>
      <c r="C17" s="15">
        <f>IF(C12&gt;0,1,0)</f>
        <v>0</v>
      </c>
    </row>
    <row r="18" spans="1:20" s="14" customFormat="1">
      <c r="B18" s="152" t="s">
        <v>158</v>
      </c>
      <c r="C18" s="2">
        <f>SUM(T:T)</f>
        <v>0</v>
      </c>
    </row>
    <row r="19" spans="1:20" s="14" customFormat="1">
      <c r="B19" s="153" t="s">
        <v>162</v>
      </c>
      <c r="C19" s="2">
        <f>IF(C18&gt;1,1,0)</f>
        <v>0</v>
      </c>
    </row>
    <row r="20" spans="1:20" s="14" customFormat="1">
      <c r="B20" s="153" t="s">
        <v>186</v>
      </c>
      <c r="C20" s="15">
        <f>SUM(U:U)</f>
        <v>0</v>
      </c>
    </row>
    <row r="21" spans="1:20" s="14" customFormat="1">
      <c r="B21" s="153" t="s">
        <v>177</v>
      </c>
      <c r="C21" s="15">
        <f>SUM(V:V)</f>
        <v>0</v>
      </c>
    </row>
    <row r="22" spans="1:20">
      <c r="K22" s="14"/>
    </row>
    <row r="23" spans="1:20" s="14" customFormat="1">
      <c r="A23" s="6" t="s">
        <v>128</v>
      </c>
      <c r="O23" s="177"/>
      <c r="P23" s="178"/>
      <c r="Q23" s="178"/>
      <c r="R23" s="178"/>
      <c r="S23" s="178"/>
      <c r="T23" s="178"/>
    </row>
    <row r="24" spans="1:20" s="14" customFormat="1">
      <c r="A24" s="6"/>
      <c r="C24" s="357" t="s">
        <v>20</v>
      </c>
      <c r="D24" s="357"/>
      <c r="E24" s="357" t="s">
        <v>34</v>
      </c>
      <c r="F24" s="357"/>
      <c r="G24" s="357" t="s">
        <v>21</v>
      </c>
      <c r="H24" s="357"/>
      <c r="I24" s="357" t="s">
        <v>175</v>
      </c>
      <c r="J24" s="357"/>
      <c r="K24" s="357"/>
      <c r="O24" s="177"/>
      <c r="P24" s="178"/>
      <c r="Q24" s="354"/>
      <c r="R24" s="354"/>
      <c r="S24" s="354"/>
      <c r="T24" s="354"/>
    </row>
    <row r="25" spans="1:20" s="14" customFormat="1">
      <c r="A25" s="6"/>
      <c r="C25" s="15" t="s">
        <v>18</v>
      </c>
      <c r="D25" s="15" t="s">
        <v>19</v>
      </c>
      <c r="E25" s="15" t="s">
        <v>18</v>
      </c>
      <c r="F25" s="15" t="s">
        <v>19</v>
      </c>
      <c r="G25" s="15" t="s">
        <v>18</v>
      </c>
      <c r="H25" s="15" t="s">
        <v>19</v>
      </c>
      <c r="I25" s="15" t="s">
        <v>18</v>
      </c>
      <c r="J25" s="15" t="s">
        <v>174</v>
      </c>
      <c r="K25" s="15" t="s">
        <v>19</v>
      </c>
      <c r="O25" s="177"/>
      <c r="P25" s="178"/>
      <c r="Q25" s="178"/>
      <c r="R25" s="178"/>
      <c r="S25" s="178"/>
      <c r="T25" s="178"/>
    </row>
    <row r="26" spans="1:20" s="14" customFormat="1">
      <c r="A26" s="6"/>
      <c r="C26" s="2">
        <f>C5*$C$11</f>
        <v>0</v>
      </c>
      <c r="D26" s="5">
        <f>C6</f>
        <v>22500</v>
      </c>
      <c r="E26" s="15">
        <f>E5*$C$11</f>
        <v>0</v>
      </c>
      <c r="F26" s="5">
        <f>E6</f>
        <v>7700</v>
      </c>
      <c r="G26" s="15">
        <f>G5*$C$12</f>
        <v>0</v>
      </c>
      <c r="H26" s="15">
        <f>G6*$C$17</f>
        <v>0</v>
      </c>
      <c r="I26" s="2">
        <f>I5*$C$21</f>
        <v>0</v>
      </c>
      <c r="J26" s="15">
        <f>I6*$C$21</f>
        <v>0</v>
      </c>
      <c r="K26" s="5">
        <f>I7</f>
        <v>800</v>
      </c>
      <c r="O26" s="177"/>
      <c r="P26" s="178"/>
      <c r="Q26" s="77"/>
      <c r="R26" s="76"/>
      <c r="S26" s="178"/>
      <c r="T26" s="76"/>
    </row>
    <row r="27" spans="1:20" s="14" customFormat="1"/>
    <row r="28" spans="1:20">
      <c r="A28" s="6" t="s">
        <v>129</v>
      </c>
    </row>
    <row r="29" spans="1:20">
      <c r="B29" s="355"/>
      <c r="C29" s="357" t="s">
        <v>20</v>
      </c>
      <c r="D29" s="357"/>
      <c r="E29" s="357" t="s">
        <v>34</v>
      </c>
      <c r="F29" s="357"/>
      <c r="G29" s="357" t="s">
        <v>21</v>
      </c>
      <c r="H29" s="357"/>
      <c r="I29" s="358" t="s">
        <v>175</v>
      </c>
      <c r="J29" s="359"/>
      <c r="K29" s="359"/>
    </row>
    <row r="30" spans="1:20">
      <c r="B30" s="356"/>
      <c r="C30" s="1" t="s">
        <v>18</v>
      </c>
      <c r="D30" s="1" t="s">
        <v>19</v>
      </c>
      <c r="E30" s="1" t="s">
        <v>18</v>
      </c>
      <c r="F30" s="1" t="s">
        <v>19</v>
      </c>
      <c r="G30" s="1" t="s">
        <v>18</v>
      </c>
      <c r="H30" s="1" t="s">
        <v>19</v>
      </c>
      <c r="I30" s="15" t="s">
        <v>18</v>
      </c>
      <c r="J30" s="15" t="s">
        <v>174</v>
      </c>
      <c r="K30" s="15" t="s">
        <v>19</v>
      </c>
    </row>
    <row r="31" spans="1:20">
      <c r="A31">
        <v>4</v>
      </c>
      <c r="B31" s="1">
        <v>0</v>
      </c>
      <c r="C31" s="2">
        <f>ROUNDUP(C$26*0.7,0)</f>
        <v>0</v>
      </c>
      <c r="D31" s="2">
        <f t="shared" ref="D31:H31" si="0">ROUNDUP(D$26*0.7,0)</f>
        <v>15750</v>
      </c>
      <c r="E31" s="2">
        <f>ROUNDUP(E$26*0.7,0)</f>
        <v>0</v>
      </c>
      <c r="F31" s="2">
        <f t="shared" si="0"/>
        <v>5390</v>
      </c>
      <c r="G31" s="2">
        <f t="shared" si="0"/>
        <v>0</v>
      </c>
      <c r="H31" s="2">
        <f t="shared" si="0"/>
        <v>0</v>
      </c>
      <c r="I31" s="2">
        <f>ROUNDUP(I$26*0.7,0)</f>
        <v>0</v>
      </c>
      <c r="J31" s="2">
        <f>ROUNDUP(J$26*0.7,0)</f>
        <v>0</v>
      </c>
      <c r="K31" s="2">
        <f>ROUNDUP(K$26*0.7,0)</f>
        <v>560</v>
      </c>
    </row>
    <row r="32" spans="1:20">
      <c r="A32">
        <v>3</v>
      </c>
      <c r="B32" s="2">
        <f>F12+(C18-1)*C19*H12+0.1</f>
        <v>430000.1</v>
      </c>
      <c r="C32" s="2">
        <f>ROUNDUP(C$26*0.5,0)</f>
        <v>0</v>
      </c>
      <c r="D32" s="2">
        <f t="shared" ref="D32:J32" si="1">ROUNDUP(D$26*0.5,0)</f>
        <v>11250</v>
      </c>
      <c r="E32" s="2">
        <f t="shared" si="1"/>
        <v>0</v>
      </c>
      <c r="F32" s="2">
        <f t="shared" si="1"/>
        <v>3850</v>
      </c>
      <c r="G32" s="2">
        <f t="shared" si="1"/>
        <v>0</v>
      </c>
      <c r="H32" s="2">
        <f t="shared" si="1"/>
        <v>0</v>
      </c>
      <c r="I32" s="2">
        <f t="shared" si="1"/>
        <v>0</v>
      </c>
      <c r="J32" s="2">
        <f t="shared" si="1"/>
        <v>0</v>
      </c>
      <c r="K32" s="2">
        <f>ROUNDUP(K$26*0.5,0)</f>
        <v>400</v>
      </c>
    </row>
    <row r="33" spans="1:20">
      <c r="A33">
        <v>2</v>
      </c>
      <c r="B33" s="2">
        <f>F13+C11*G13+(C18-1)*C19*H13+0.1</f>
        <v>430000.1</v>
      </c>
      <c r="C33" s="2">
        <f>ROUNDUP(C$26*0.2,0)</f>
        <v>0</v>
      </c>
      <c r="D33" s="2">
        <f t="shared" ref="D33:J33" si="2">ROUNDUP(D$26*0.2,0)</f>
        <v>4500</v>
      </c>
      <c r="E33" s="2">
        <f t="shared" si="2"/>
        <v>0</v>
      </c>
      <c r="F33" s="2">
        <f t="shared" si="2"/>
        <v>1540</v>
      </c>
      <c r="G33" s="2">
        <f t="shared" si="2"/>
        <v>0</v>
      </c>
      <c r="H33" s="2">
        <f t="shared" si="2"/>
        <v>0</v>
      </c>
      <c r="I33" s="2">
        <f t="shared" si="2"/>
        <v>0</v>
      </c>
      <c r="J33" s="2">
        <f t="shared" si="2"/>
        <v>0</v>
      </c>
      <c r="K33" s="2">
        <f>ROUNDUP(K$26*0.2,0)</f>
        <v>160</v>
      </c>
    </row>
    <row r="34" spans="1:20" ht="14.25" thickBot="1">
      <c r="A34">
        <v>1</v>
      </c>
      <c r="B34" s="10">
        <f>F14+C11*G14+(C18-1)*C19*H14+0.1</f>
        <v>430000.1</v>
      </c>
      <c r="C34" s="10">
        <v>0</v>
      </c>
      <c r="D34" s="10">
        <v>0</v>
      </c>
      <c r="E34" s="10">
        <v>0</v>
      </c>
      <c r="F34" s="10">
        <v>0</v>
      </c>
      <c r="G34" s="10">
        <v>0</v>
      </c>
      <c r="H34" s="10">
        <v>0</v>
      </c>
      <c r="I34" s="10">
        <v>0</v>
      </c>
      <c r="J34" s="10">
        <v>0</v>
      </c>
      <c r="K34" s="10">
        <v>0</v>
      </c>
    </row>
    <row r="35" spans="1:20" ht="14.25" thickBot="1">
      <c r="A35" s="8">
        <f>_xlfn.RANK.EQ(B35,B31:B35)</f>
        <v>4</v>
      </c>
      <c r="B35" s="11">
        <f>C16</f>
        <v>0</v>
      </c>
      <c r="C35" s="12">
        <f>VLOOKUP($A$35,$A$31:$H$34,3,FALSE)</f>
        <v>0</v>
      </c>
      <c r="D35" s="12">
        <f>VLOOKUP($A$35,$A$31:$H$34,4,FALSE)</f>
        <v>15750</v>
      </c>
      <c r="E35" s="12">
        <f>VLOOKUP($A$35,$A$31:$H$34,5,FALSE)</f>
        <v>0</v>
      </c>
      <c r="F35" s="12">
        <f>VLOOKUP($A$35,$A$31:$H$34,6,FALSE)</f>
        <v>5390</v>
      </c>
      <c r="G35" s="12">
        <f>VLOOKUP($A$35,$A$31:$H$34,7,FALSE)</f>
        <v>0</v>
      </c>
      <c r="H35" s="13">
        <f>VLOOKUP($A$35,$A$31:$H$34,8,FALSE)</f>
        <v>0</v>
      </c>
      <c r="I35" s="12">
        <f>VLOOKUP($A$35,$A$31:$K$34,9,FALSE)</f>
        <v>0</v>
      </c>
      <c r="J35" s="12">
        <f>VLOOKUP($A$35,$A$31:$K$34,10,FALSE)</f>
        <v>0</v>
      </c>
      <c r="K35" s="13">
        <f>VLOOKUP($A$35,$A$31:$K$34,11,FALSE)</f>
        <v>560</v>
      </c>
    </row>
    <row r="36" spans="1:20" s="14" customFormat="1" ht="14.25" thickBot="1">
      <c r="A36" s="8"/>
      <c r="B36" s="76"/>
      <c r="C36" s="77"/>
      <c r="D36" s="77"/>
      <c r="E36" s="77"/>
      <c r="F36" s="77"/>
      <c r="G36" s="77"/>
      <c r="H36" s="77"/>
      <c r="J36" s="65" t="s">
        <v>85</v>
      </c>
      <c r="K36" s="78" t="str">
        <f>IF(A35=4,"７割",IF(A35=3,"５割",IF(A35=2,"２割","非該当")))</f>
        <v>７割</v>
      </c>
    </row>
    <row r="37" spans="1:20" s="14" customFormat="1">
      <c r="A37" s="6" t="s">
        <v>187</v>
      </c>
      <c r="G37" s="77"/>
      <c r="H37" s="77"/>
      <c r="J37" s="65"/>
      <c r="K37" s="176"/>
      <c r="O37" s="8"/>
      <c r="P37" s="76"/>
      <c r="Q37" s="77"/>
      <c r="R37" s="77"/>
      <c r="S37" s="77"/>
      <c r="T37" s="77"/>
    </row>
    <row r="38" spans="1:20" s="14" customFormat="1">
      <c r="B38" s="355"/>
      <c r="C38" s="357" t="s">
        <v>20</v>
      </c>
      <c r="D38" s="357"/>
      <c r="E38" s="357" t="s">
        <v>34</v>
      </c>
      <c r="F38" s="357"/>
      <c r="G38" s="77"/>
      <c r="H38" s="77"/>
      <c r="J38" s="65"/>
      <c r="K38" s="176"/>
      <c r="O38" s="8"/>
      <c r="P38" s="76"/>
      <c r="Q38" s="77"/>
      <c r="R38" s="77"/>
      <c r="S38" s="77"/>
      <c r="T38" s="77"/>
    </row>
    <row r="39" spans="1:20" s="14" customFormat="1">
      <c r="B39" s="356"/>
      <c r="C39" s="15" t="s">
        <v>18</v>
      </c>
      <c r="D39" s="15" t="s">
        <v>19</v>
      </c>
      <c r="E39" s="15" t="s">
        <v>18</v>
      </c>
      <c r="F39" s="15" t="s">
        <v>19</v>
      </c>
      <c r="G39" s="77"/>
      <c r="H39" s="77"/>
      <c r="J39" s="65"/>
      <c r="K39" s="176"/>
      <c r="O39" s="8"/>
      <c r="P39" s="76"/>
      <c r="Q39" s="77"/>
      <c r="R39" s="77"/>
      <c r="S39" s="77"/>
      <c r="T39" s="77"/>
    </row>
    <row r="40" spans="1:20" s="14" customFormat="1">
      <c r="A40" s="14">
        <v>4</v>
      </c>
      <c r="B40" s="15">
        <v>0</v>
      </c>
      <c r="C40" s="2">
        <f>ROUNDUP(C$5*0.3,0)*(C11-C20)*1/2</f>
        <v>0</v>
      </c>
      <c r="D40" s="2"/>
      <c r="E40" s="2">
        <f>ROUNDUP(E$5*0.3,0)*(C11-C20)*1/2</f>
        <v>0</v>
      </c>
      <c r="F40" s="2"/>
      <c r="G40" s="77"/>
      <c r="H40" s="77"/>
      <c r="J40" s="65"/>
      <c r="K40" s="176"/>
      <c r="O40" s="8"/>
      <c r="P40" s="76"/>
      <c r="Q40" s="77"/>
      <c r="R40" s="77"/>
      <c r="S40" s="77"/>
      <c r="T40" s="77"/>
    </row>
    <row r="41" spans="1:20" s="14" customFormat="1">
      <c r="A41" s="14">
        <v>3</v>
      </c>
      <c r="B41" s="2">
        <f>B32</f>
        <v>430000.1</v>
      </c>
      <c r="C41" s="2">
        <f>ROUNDUP(C$5*0.5,0)*(C11-C20)*1/2</f>
        <v>0</v>
      </c>
      <c r="D41" s="2"/>
      <c r="E41" s="2">
        <f>ROUNDUP(E$5*0.5,0)*(C11-C20)*1/2</f>
        <v>0</v>
      </c>
      <c r="F41" s="2"/>
      <c r="G41" s="77"/>
      <c r="H41" s="77"/>
      <c r="J41" s="65"/>
      <c r="K41" s="176"/>
      <c r="O41" s="8"/>
      <c r="P41" s="76"/>
      <c r="Q41" s="77"/>
      <c r="R41" s="77"/>
      <c r="S41" s="77"/>
      <c r="T41" s="77"/>
    </row>
    <row r="42" spans="1:20" s="14" customFormat="1">
      <c r="A42" s="14">
        <v>2</v>
      </c>
      <c r="B42" s="2">
        <f>B33</f>
        <v>430000.1</v>
      </c>
      <c r="C42" s="2">
        <f>ROUNDUP(C$5*0.8,0)*(C11-C20)*1/2</f>
        <v>0</v>
      </c>
      <c r="D42" s="2"/>
      <c r="E42" s="2">
        <f>ROUNDUP(E$5*0.8,0)*(C11-C20)*1/2</f>
        <v>0</v>
      </c>
      <c r="F42" s="2"/>
      <c r="G42" s="77"/>
      <c r="H42" s="77"/>
      <c r="J42" s="65"/>
      <c r="K42" s="176"/>
      <c r="O42" s="8"/>
      <c r="P42" s="76"/>
      <c r="Q42" s="77"/>
      <c r="R42" s="77"/>
      <c r="S42" s="77"/>
      <c r="T42" s="77"/>
    </row>
    <row r="43" spans="1:20" s="14" customFormat="1" ht="14.25" thickBot="1">
      <c r="A43" s="14">
        <v>1</v>
      </c>
      <c r="B43" s="2">
        <f>B34</f>
        <v>430000.1</v>
      </c>
      <c r="C43" s="10">
        <f>C5*(C11-C20)*1/2</f>
        <v>0</v>
      </c>
      <c r="D43" s="10"/>
      <c r="E43" s="10">
        <f>E5*(C11-C20)*1/2</f>
        <v>0</v>
      </c>
      <c r="F43" s="10"/>
      <c r="G43" s="77"/>
      <c r="H43" s="77"/>
      <c r="J43" s="65"/>
      <c r="K43" s="176"/>
      <c r="O43" s="8"/>
      <c r="P43" s="76"/>
      <c r="Q43" s="77"/>
      <c r="R43" s="77"/>
      <c r="S43" s="77"/>
      <c r="T43" s="77"/>
    </row>
    <row r="44" spans="1:20" s="14" customFormat="1" ht="14.25" thickBot="1">
      <c r="A44" s="8">
        <f>A35</f>
        <v>4</v>
      </c>
      <c r="B44" s="11"/>
      <c r="C44" s="12">
        <f>VLOOKUP(A44,A40:F43,3,FALSE)</f>
        <v>0</v>
      </c>
      <c r="D44" s="12"/>
      <c r="E44" s="12">
        <f>VLOOKUP(A44,A40:F43,5,FALSE)</f>
        <v>0</v>
      </c>
      <c r="F44" s="12"/>
      <c r="G44" s="77"/>
      <c r="H44" s="77"/>
      <c r="J44" s="65"/>
      <c r="K44" s="176"/>
      <c r="O44" s="8"/>
      <c r="P44" s="76"/>
      <c r="Q44" s="77"/>
      <c r="R44" s="77"/>
      <c r="S44" s="77"/>
      <c r="T44" s="77"/>
    </row>
    <row r="45" spans="1:20" s="14" customFormat="1">
      <c r="A45" s="8"/>
      <c r="B45" s="76"/>
      <c r="C45" s="77"/>
      <c r="D45" s="77"/>
      <c r="E45" s="77"/>
      <c r="F45" s="77"/>
      <c r="G45" s="77"/>
      <c r="H45" s="77"/>
      <c r="J45" s="65"/>
      <c r="K45" s="176"/>
      <c r="O45" s="8"/>
      <c r="P45" s="76"/>
      <c r="Q45" s="77"/>
      <c r="R45" s="77"/>
      <c r="S45" s="77"/>
      <c r="T45" s="77"/>
    </row>
    <row r="46" spans="1:20">
      <c r="A46" s="6" t="s">
        <v>32</v>
      </c>
    </row>
    <row r="47" spans="1:20">
      <c r="B47" s="15"/>
      <c r="C47" s="15" t="s">
        <v>35</v>
      </c>
      <c r="D47" s="15" t="s">
        <v>18</v>
      </c>
      <c r="E47" s="15" t="s">
        <v>174</v>
      </c>
      <c r="F47" s="15" t="s">
        <v>19</v>
      </c>
      <c r="G47" s="9" t="s">
        <v>36</v>
      </c>
      <c r="H47" s="9" t="s">
        <v>37</v>
      </c>
      <c r="I47" s="9" t="s">
        <v>32</v>
      </c>
    </row>
    <row r="48" spans="1:20">
      <c r="B48" s="15" t="s">
        <v>20</v>
      </c>
      <c r="C48" s="2">
        <f>ROUND($C$14*C3,0)</f>
        <v>0</v>
      </c>
      <c r="D48" s="5">
        <f>C26-C35-C44</f>
        <v>0</v>
      </c>
      <c r="E48" s="5">
        <v>0</v>
      </c>
      <c r="F48" s="5">
        <f>D26-D35</f>
        <v>6750</v>
      </c>
      <c r="G48" s="5">
        <f>ROUNDDOWN(SUM(C48:F48),-2)</f>
        <v>6700</v>
      </c>
      <c r="H48" s="5">
        <f>C7</f>
        <v>670000</v>
      </c>
      <c r="I48" s="5">
        <f>MIN(G48,H48)</f>
        <v>6700</v>
      </c>
    </row>
    <row r="49" spans="1:16">
      <c r="B49" s="15" t="s">
        <v>33</v>
      </c>
      <c r="C49" s="2">
        <f>ROUND($C$14*E3,0)</f>
        <v>0</v>
      </c>
      <c r="D49" s="5">
        <f>E26-E35-E44</f>
        <v>0</v>
      </c>
      <c r="E49" s="5">
        <v>0</v>
      </c>
      <c r="F49" s="5">
        <f>F26-F35</f>
        <v>2310</v>
      </c>
      <c r="G49" s="5">
        <f>ROUNDDOWN(SUM(C49:F49),-2)</f>
        <v>2300</v>
      </c>
      <c r="H49" s="5">
        <f>E7</f>
        <v>260000</v>
      </c>
      <c r="I49" s="5">
        <f t="shared" ref="I49:I50" si="3">MIN(G49,H49)</f>
        <v>2300</v>
      </c>
    </row>
    <row r="50" spans="1:16">
      <c r="B50" s="15" t="s">
        <v>21</v>
      </c>
      <c r="C50" s="2">
        <f>ROUND($C$15*G3,0)</f>
        <v>0</v>
      </c>
      <c r="D50" s="5">
        <f>G26-G35</f>
        <v>0</v>
      </c>
      <c r="E50" s="5">
        <v>0</v>
      </c>
      <c r="F50" s="5">
        <f>H26-H35</f>
        <v>0</v>
      </c>
      <c r="G50" s="5">
        <f>ROUNDDOWN(SUM(C50:F50),-2)</f>
        <v>0</v>
      </c>
      <c r="H50" s="5">
        <f>G7</f>
        <v>170000</v>
      </c>
      <c r="I50" s="5">
        <f t="shared" si="3"/>
        <v>0</v>
      </c>
    </row>
    <row r="51" spans="1:16">
      <c r="B51" s="15" t="s">
        <v>175</v>
      </c>
      <c r="C51" s="2">
        <f>ROUND($C$14*I3,0)</f>
        <v>0</v>
      </c>
      <c r="D51" s="5">
        <f>I26-I35</f>
        <v>0</v>
      </c>
      <c r="E51" s="5">
        <f>J26-J35</f>
        <v>0</v>
      </c>
      <c r="F51" s="5">
        <f>K26-K35</f>
        <v>240</v>
      </c>
      <c r="G51" s="5">
        <f>ROUNDDOWN(SUM(C51:F51),-2)</f>
        <v>200</v>
      </c>
      <c r="H51" s="5">
        <f>I8</f>
        <v>30000</v>
      </c>
      <c r="I51" s="5">
        <f>MIN(G51,H51)</f>
        <v>200</v>
      </c>
    </row>
    <row r="52" spans="1:16">
      <c r="I52" s="28">
        <f>SUM(I48:I51)</f>
        <v>9200</v>
      </c>
    </row>
    <row r="53" spans="1:16" ht="14.25" thickBot="1">
      <c r="B53" s="8" t="s">
        <v>167</v>
      </c>
      <c r="C53" s="8" t="s">
        <v>87</v>
      </c>
    </row>
    <row r="54" spans="1:16" ht="14.25" thickBot="1">
      <c r="A54" s="6" t="s">
        <v>0</v>
      </c>
      <c r="B54" s="145">
        <f>計算シート!E17</f>
        <v>0</v>
      </c>
      <c r="C54" s="71">
        <f>IF(計算シート!D12="加入していない",0,1)</f>
        <v>1</v>
      </c>
      <c r="D54" s="352" t="s">
        <v>6</v>
      </c>
      <c r="E54" s="352"/>
      <c r="F54" s="353"/>
      <c r="G54" s="352" t="s">
        <v>7</v>
      </c>
      <c r="H54" s="352"/>
      <c r="I54" s="360"/>
    </row>
    <row r="55" spans="1:16">
      <c r="A55" s="66" t="s">
        <v>4</v>
      </c>
      <c r="B55" s="66" t="s">
        <v>1</v>
      </c>
      <c r="C55" s="70" t="s">
        <v>3</v>
      </c>
      <c r="D55" s="29" t="s">
        <v>4</v>
      </c>
      <c r="E55" s="1" t="s">
        <v>2</v>
      </c>
      <c r="F55" s="31" t="s">
        <v>5</v>
      </c>
      <c r="G55" s="29" t="s">
        <v>4</v>
      </c>
      <c r="H55" s="1" t="s">
        <v>2</v>
      </c>
      <c r="I55" s="1" t="s">
        <v>5</v>
      </c>
    </row>
    <row r="56" spans="1:16">
      <c r="A56" s="27">
        <v>6</v>
      </c>
      <c r="B56" s="22"/>
      <c r="C56" s="32">
        <v>0</v>
      </c>
      <c r="D56" s="30">
        <v>6</v>
      </c>
      <c r="E56" s="22"/>
      <c r="F56" s="32">
        <v>0</v>
      </c>
      <c r="G56" s="30">
        <v>6</v>
      </c>
      <c r="H56" s="22"/>
      <c r="I56" s="27">
        <v>0</v>
      </c>
    </row>
    <row r="57" spans="1:16">
      <c r="A57" s="27">
        <v>5</v>
      </c>
      <c r="B57" s="22">
        <v>650000</v>
      </c>
      <c r="C57" s="33">
        <f>B72-650000</f>
        <v>-650000</v>
      </c>
      <c r="D57" s="30">
        <v>5</v>
      </c>
      <c r="E57" s="22">
        <v>600000</v>
      </c>
      <c r="F57" s="33">
        <f>E72-600000</f>
        <v>-600000</v>
      </c>
      <c r="G57" s="30">
        <v>5</v>
      </c>
      <c r="H57" s="22">
        <v>1100000</v>
      </c>
      <c r="I57" s="22">
        <f>H72-1100000</f>
        <v>-1100000</v>
      </c>
    </row>
    <row r="58" spans="1:16">
      <c r="A58" s="27">
        <v>4</v>
      </c>
      <c r="B58" s="22">
        <v>1900000</v>
      </c>
      <c r="C58" s="33">
        <f>ROUNDDOWN(B72/4,-3)*2.8-80000</f>
        <v>-80000</v>
      </c>
      <c r="D58" s="30">
        <v>4</v>
      </c>
      <c r="E58" s="22">
        <v>1300000</v>
      </c>
      <c r="F58" s="33">
        <f>E72*0.75-275000</f>
        <v>-275000</v>
      </c>
      <c r="G58" s="30">
        <v>4</v>
      </c>
      <c r="H58" s="22">
        <v>3300000</v>
      </c>
      <c r="I58" s="22">
        <f>H72*0.75-275000</f>
        <v>-275000</v>
      </c>
    </row>
    <row r="59" spans="1:16">
      <c r="A59" s="27">
        <v>3</v>
      </c>
      <c r="B59" s="22">
        <v>3600000</v>
      </c>
      <c r="C59" s="33">
        <f>ROUNDDOWN(B72/4,-3)*3.2-440000</f>
        <v>-440000</v>
      </c>
      <c r="D59" s="30">
        <v>3</v>
      </c>
      <c r="E59" s="22">
        <v>4100000</v>
      </c>
      <c r="F59" s="33">
        <f>E72*0.85-685000</f>
        <v>-685000</v>
      </c>
      <c r="G59" s="30">
        <v>3</v>
      </c>
      <c r="H59" s="22">
        <v>4100000</v>
      </c>
      <c r="I59" s="22">
        <f>H72*0.85-685000</f>
        <v>-685000</v>
      </c>
    </row>
    <row r="60" spans="1:16">
      <c r="A60" s="27">
        <v>2</v>
      </c>
      <c r="B60" s="22">
        <v>6600000</v>
      </c>
      <c r="C60" s="33">
        <f>B72*0.9-1100000</f>
        <v>-1100000</v>
      </c>
      <c r="D60" s="30">
        <v>2</v>
      </c>
      <c r="E60" s="22">
        <v>7700000</v>
      </c>
      <c r="F60" s="33">
        <f>E72*0.95-1455000</f>
        <v>-1455000</v>
      </c>
      <c r="G60" s="30">
        <v>2</v>
      </c>
      <c r="H60" s="22">
        <v>7700000</v>
      </c>
      <c r="I60" s="22">
        <f>H72*0.95-1455000</f>
        <v>-1455000</v>
      </c>
    </row>
    <row r="61" spans="1:16">
      <c r="A61" s="27">
        <v>1</v>
      </c>
      <c r="B61" s="22">
        <v>8500000</v>
      </c>
      <c r="C61" s="33">
        <f>B72-1950000</f>
        <v>-1950000</v>
      </c>
      <c r="D61" s="30">
        <v>1</v>
      </c>
      <c r="E61" s="22">
        <v>10000000</v>
      </c>
      <c r="F61" s="33">
        <f>E72-1955000</f>
        <v>-1955000</v>
      </c>
      <c r="G61" s="30">
        <v>1</v>
      </c>
      <c r="H61" s="22">
        <v>10000000</v>
      </c>
      <c r="I61" s="22">
        <f>H72-1955000</f>
        <v>-1955000</v>
      </c>
      <c r="P61" s="14"/>
    </row>
    <row r="62" spans="1:16">
      <c r="A62" s="27"/>
      <c r="B62" s="22"/>
      <c r="C62" s="33"/>
      <c r="D62" s="30"/>
      <c r="E62" s="22"/>
      <c r="F62" s="33"/>
      <c r="G62" s="30"/>
      <c r="H62" s="22"/>
      <c r="I62" s="22"/>
      <c r="K62" s="14"/>
      <c r="P62" s="14"/>
    </row>
    <row r="63" spans="1:16">
      <c r="A63" s="27"/>
      <c r="B63" s="22"/>
      <c r="C63" s="33"/>
      <c r="D63" s="30"/>
      <c r="E63" s="22"/>
      <c r="F63" s="33"/>
      <c r="G63" s="30"/>
      <c r="H63" s="22"/>
      <c r="I63" s="22"/>
      <c r="K63" s="14"/>
      <c r="P63" s="14"/>
    </row>
    <row r="64" spans="1:16">
      <c r="A64" s="27"/>
      <c r="B64" s="22"/>
      <c r="C64" s="33"/>
      <c r="D64" s="30"/>
      <c r="E64" s="22"/>
      <c r="F64" s="33"/>
      <c r="G64" s="30"/>
      <c r="H64" s="22"/>
      <c r="I64" s="22"/>
      <c r="K64" s="14"/>
      <c r="P64" s="14"/>
    </row>
    <row r="65" spans="1:22">
      <c r="A65" s="27"/>
      <c r="B65" s="22"/>
      <c r="C65" s="33"/>
      <c r="D65" s="30"/>
      <c r="E65" s="22"/>
      <c r="F65" s="33"/>
      <c r="G65" s="30"/>
      <c r="H65" s="22"/>
      <c r="I65" s="22"/>
      <c r="P65" s="14"/>
    </row>
    <row r="66" spans="1:22">
      <c r="A66" s="27"/>
      <c r="B66" s="22"/>
      <c r="C66" s="33"/>
      <c r="D66" s="30"/>
      <c r="E66" s="22"/>
      <c r="F66" s="33"/>
      <c r="G66" s="30"/>
      <c r="H66" s="22"/>
      <c r="I66" s="22"/>
      <c r="K66" s="14"/>
      <c r="P66" s="14"/>
    </row>
    <row r="67" spans="1:22">
      <c r="A67" s="27"/>
      <c r="B67" s="27"/>
      <c r="C67" s="32"/>
      <c r="D67" s="30"/>
      <c r="E67" s="27"/>
      <c r="F67" s="32"/>
      <c r="G67" s="30"/>
      <c r="H67" s="27"/>
      <c r="I67" s="27"/>
      <c r="K67" s="14"/>
    </row>
    <row r="68" spans="1:22">
      <c r="A68" s="27"/>
      <c r="B68" s="27"/>
      <c r="C68" s="32"/>
      <c r="D68" s="30"/>
      <c r="E68" s="27"/>
      <c r="F68" s="32"/>
      <c r="G68" s="30"/>
      <c r="H68" s="27"/>
      <c r="I68" s="27"/>
      <c r="K68" s="14"/>
    </row>
    <row r="69" spans="1:22">
      <c r="A69" s="27"/>
      <c r="B69" s="27"/>
      <c r="C69" s="32"/>
      <c r="D69" s="30"/>
      <c r="E69" s="27"/>
      <c r="F69" s="32"/>
      <c r="G69" s="30"/>
      <c r="H69" s="27"/>
      <c r="I69" s="27"/>
    </row>
    <row r="70" spans="1:22">
      <c r="A70" s="27"/>
      <c r="B70" s="27"/>
      <c r="C70" s="32"/>
      <c r="D70" s="30"/>
      <c r="E70" s="27"/>
      <c r="F70" s="32"/>
      <c r="G70" s="30"/>
      <c r="H70" s="27"/>
      <c r="I70" s="27"/>
    </row>
    <row r="71" spans="1:22">
      <c r="A71" s="67"/>
      <c r="B71" s="67" t="s">
        <v>81</v>
      </c>
      <c r="C71" s="67" t="s">
        <v>82</v>
      </c>
      <c r="E71" t="s">
        <v>81</v>
      </c>
      <c r="F71" t="s">
        <v>82</v>
      </c>
      <c r="H71" t="s">
        <v>81</v>
      </c>
      <c r="I71" t="s">
        <v>82</v>
      </c>
      <c r="J71" t="s">
        <v>5</v>
      </c>
      <c r="K71" t="s">
        <v>83</v>
      </c>
      <c r="L71" t="s">
        <v>84</v>
      </c>
      <c r="M71" s="146" t="s">
        <v>159</v>
      </c>
      <c r="N71" s="147" t="s">
        <v>160</v>
      </c>
      <c r="O71" t="s">
        <v>8</v>
      </c>
      <c r="P71" t="s">
        <v>11</v>
      </c>
      <c r="Q71" t="s">
        <v>9</v>
      </c>
      <c r="R71" t="s">
        <v>38</v>
      </c>
      <c r="S71" t="s">
        <v>39</v>
      </c>
      <c r="T71" s="154" t="s">
        <v>161</v>
      </c>
      <c r="U71" s="154" t="s">
        <v>185</v>
      </c>
      <c r="V71" s="154" t="s">
        <v>176</v>
      </c>
    </row>
    <row r="72" spans="1:22">
      <c r="A72" s="68">
        <f>_xlfn.RANK.EQ(B72,B56:B72)</f>
        <v>6</v>
      </c>
      <c r="B72" s="69">
        <f>計算シート!F17</f>
        <v>0</v>
      </c>
      <c r="C72" s="69">
        <f>VLOOKUP(A72,A56:C70,3,FALSE)</f>
        <v>0</v>
      </c>
      <c r="D72" s="3">
        <f>_xlfn.RANK.EQ(E72,E56:E72)</f>
        <v>6</v>
      </c>
      <c r="E72" s="4">
        <f>計算シート!G17</f>
        <v>0</v>
      </c>
      <c r="F72" s="4">
        <f>VLOOKUP(D72,D56:F70,3,FALSE)</f>
        <v>0</v>
      </c>
      <c r="G72" s="3">
        <f>_xlfn.RANK.EQ(H72,H56:H72)</f>
        <v>6</v>
      </c>
      <c r="H72" s="4">
        <f>計算シート!G17</f>
        <v>0</v>
      </c>
      <c r="I72" s="4">
        <f>VLOOKUP(G72,G56:I70,3,FALSE)</f>
        <v>0</v>
      </c>
      <c r="J72" s="2">
        <f>IF(計算シート!E17&gt;=65,I72,F72)</f>
        <v>0</v>
      </c>
      <c r="K72" s="1">
        <f>IF(計算シート!E17&gt;=65,MAX(I72-150000,0),F72)</f>
        <v>0</v>
      </c>
      <c r="L72" s="5">
        <f>計算シート!H17</f>
        <v>0</v>
      </c>
      <c r="M72" s="5">
        <f>IF(AND(C72&gt;0,J72&gt;0),MIN(C72,100000)+MIN(J72,100000)-100000,0)</f>
        <v>0</v>
      </c>
      <c r="N72" s="5">
        <f>C72-M72</f>
        <v>0</v>
      </c>
      <c r="O72" s="5">
        <f>SUM(N72,J72,L72)*C54</f>
        <v>0</v>
      </c>
      <c r="P72" s="5">
        <f>MAX(O72-430000,0)</f>
        <v>0</v>
      </c>
      <c r="Q72" s="5">
        <f>MAX(SUM(N72,K72,L72,M72),0)</f>
        <v>0</v>
      </c>
      <c r="R72" s="15">
        <f>IF(AND(B54&gt;=40,B54&lt;65),C54,0)</f>
        <v>0</v>
      </c>
      <c r="S72" s="15">
        <f>P72*R72</f>
        <v>0</v>
      </c>
      <c r="T72" s="15">
        <f>IF(OR(C72&gt;0,J72&gt;0),1,0)</f>
        <v>0</v>
      </c>
      <c r="U72" s="15">
        <f>IF(B54&gt;=7,1,0)</f>
        <v>0</v>
      </c>
      <c r="V72" s="15">
        <f>IF(B54&gt;=18,1,0)</f>
        <v>0</v>
      </c>
    </row>
    <row r="73" spans="1:22" ht="14.25" thickBot="1">
      <c r="B73" s="8" t="s">
        <v>167</v>
      </c>
      <c r="C73" s="8" t="s">
        <v>103</v>
      </c>
    </row>
    <row r="74" spans="1:22" ht="14.25" thickBot="1">
      <c r="A74" s="7">
        <v>2</v>
      </c>
      <c r="B74" s="145">
        <f>計算シート!E18</f>
        <v>0</v>
      </c>
      <c r="C74" s="71">
        <f>IF($C$11+1-$C$54&gt;=2,1,0)</f>
        <v>0</v>
      </c>
      <c r="D74" s="352" t="s">
        <v>6</v>
      </c>
      <c r="E74" s="352"/>
      <c r="F74" s="353"/>
      <c r="G74" s="352" t="s">
        <v>7</v>
      </c>
      <c r="H74" s="352"/>
      <c r="I74" s="360"/>
    </row>
    <row r="75" spans="1:22">
      <c r="A75" s="1" t="s">
        <v>4</v>
      </c>
      <c r="B75" s="1" t="s">
        <v>1</v>
      </c>
      <c r="C75" s="75" t="s">
        <v>3</v>
      </c>
      <c r="D75" s="29" t="s">
        <v>4</v>
      </c>
      <c r="E75" s="1" t="s">
        <v>2</v>
      </c>
      <c r="F75" s="31" t="s">
        <v>5</v>
      </c>
      <c r="G75" s="29" t="s">
        <v>4</v>
      </c>
      <c r="H75" s="1" t="s">
        <v>2</v>
      </c>
      <c r="I75" s="1" t="s">
        <v>5</v>
      </c>
      <c r="K75" s="14"/>
      <c r="L75" s="14"/>
    </row>
    <row r="76" spans="1:22">
      <c r="A76" s="27">
        <v>6</v>
      </c>
      <c r="B76" s="22"/>
      <c r="C76" s="32">
        <v>0</v>
      </c>
      <c r="D76" s="30">
        <v>6</v>
      </c>
      <c r="E76" s="22"/>
      <c r="F76" s="32">
        <v>0</v>
      </c>
      <c r="G76" s="30">
        <v>6</v>
      </c>
      <c r="H76" s="22"/>
      <c r="I76" s="27">
        <v>0</v>
      </c>
      <c r="K76" s="14"/>
      <c r="L76" s="14"/>
    </row>
    <row r="77" spans="1:22">
      <c r="A77" s="27">
        <v>5</v>
      </c>
      <c r="B77" s="22">
        <v>650000</v>
      </c>
      <c r="C77" s="33">
        <f>B92-650000</f>
        <v>-650000</v>
      </c>
      <c r="D77" s="30">
        <v>5</v>
      </c>
      <c r="E77" s="22">
        <v>600000</v>
      </c>
      <c r="F77" s="33">
        <f>E92-600000</f>
        <v>-600000</v>
      </c>
      <c r="G77" s="30">
        <v>5</v>
      </c>
      <c r="H77" s="22">
        <v>1100000</v>
      </c>
      <c r="I77" s="22">
        <f>H92-1100000</f>
        <v>-1100000</v>
      </c>
      <c r="K77" s="14"/>
      <c r="L77" s="14"/>
    </row>
    <row r="78" spans="1:22">
      <c r="A78" s="27">
        <v>4</v>
      </c>
      <c r="B78" s="22">
        <v>1900000</v>
      </c>
      <c r="C78" s="33">
        <f>ROUNDDOWN(B92/4,-3)*2.8-80000</f>
        <v>-80000</v>
      </c>
      <c r="D78" s="30">
        <v>4</v>
      </c>
      <c r="E78" s="22">
        <v>1300000</v>
      </c>
      <c r="F78" s="33">
        <f>E92*0.75-275000</f>
        <v>-275000</v>
      </c>
      <c r="G78" s="30">
        <v>4</v>
      </c>
      <c r="H78" s="22">
        <v>3300000</v>
      </c>
      <c r="I78" s="22">
        <f>H92*0.75-275000</f>
        <v>-275000</v>
      </c>
      <c r="K78" s="14"/>
      <c r="L78" s="14"/>
    </row>
    <row r="79" spans="1:22">
      <c r="A79" s="27">
        <v>3</v>
      </c>
      <c r="B79" s="22">
        <v>3600000</v>
      </c>
      <c r="C79" s="33">
        <f>ROUNDDOWN(B92/4,-3)*3.2-440000</f>
        <v>-440000</v>
      </c>
      <c r="D79" s="30">
        <v>3</v>
      </c>
      <c r="E79" s="22">
        <v>4100000</v>
      </c>
      <c r="F79" s="33">
        <f>E92*0.85-685000</f>
        <v>-685000</v>
      </c>
      <c r="G79" s="30">
        <v>3</v>
      </c>
      <c r="H79" s="22">
        <v>4100000</v>
      </c>
      <c r="I79" s="22">
        <f>H92*0.85-685000</f>
        <v>-685000</v>
      </c>
      <c r="K79" s="14"/>
      <c r="L79" s="14"/>
    </row>
    <row r="80" spans="1:22">
      <c r="A80" s="27">
        <v>2</v>
      </c>
      <c r="B80" s="22">
        <v>6600000</v>
      </c>
      <c r="C80" s="33">
        <f>B92*0.9-1100000</f>
        <v>-1100000</v>
      </c>
      <c r="D80" s="30">
        <v>2</v>
      </c>
      <c r="E80" s="22">
        <v>7700000</v>
      </c>
      <c r="F80" s="33">
        <f>E92*0.95-1455000</f>
        <v>-1455000</v>
      </c>
      <c r="G80" s="30">
        <v>2</v>
      </c>
      <c r="H80" s="22">
        <v>7700000</v>
      </c>
      <c r="I80" s="22">
        <f>H92*0.95-1455000</f>
        <v>-1455000</v>
      </c>
      <c r="K80" s="14"/>
      <c r="L80" s="14"/>
    </row>
    <row r="81" spans="1:22">
      <c r="A81" s="27">
        <v>1</v>
      </c>
      <c r="B81" s="22">
        <v>8500000</v>
      </c>
      <c r="C81" s="33">
        <f>B92-1950000</f>
        <v>-1950000</v>
      </c>
      <c r="D81" s="30">
        <v>1</v>
      </c>
      <c r="E81" s="22">
        <v>10000000</v>
      </c>
      <c r="F81" s="33">
        <f>E92-1955000</f>
        <v>-1955000</v>
      </c>
      <c r="G81" s="30">
        <v>1</v>
      </c>
      <c r="H81" s="22">
        <v>10000000</v>
      </c>
      <c r="I81" s="22">
        <f>H92-1955000</f>
        <v>-1955000</v>
      </c>
      <c r="K81" s="14"/>
      <c r="L81" s="14"/>
    </row>
    <row r="82" spans="1:22">
      <c r="A82" s="27"/>
      <c r="B82" s="22"/>
      <c r="C82" s="33"/>
      <c r="D82" s="30"/>
      <c r="E82" s="22"/>
      <c r="F82" s="33"/>
      <c r="G82" s="30"/>
      <c r="H82" s="22"/>
      <c r="I82" s="22"/>
      <c r="K82" s="14"/>
      <c r="L82" s="14"/>
    </row>
    <row r="83" spans="1:22">
      <c r="A83" s="27"/>
      <c r="B83" s="22"/>
      <c r="C83" s="33"/>
      <c r="D83" s="30"/>
      <c r="E83" s="22"/>
      <c r="F83" s="33"/>
      <c r="G83" s="30"/>
      <c r="H83" s="22"/>
      <c r="I83" s="22"/>
      <c r="K83" s="14"/>
      <c r="L83" s="14"/>
    </row>
    <row r="84" spans="1:22">
      <c r="A84" s="27"/>
      <c r="B84" s="22"/>
      <c r="C84" s="33"/>
      <c r="D84" s="30"/>
      <c r="E84" s="22"/>
      <c r="F84" s="33"/>
      <c r="G84" s="30"/>
      <c r="H84" s="22"/>
      <c r="I84" s="22"/>
    </row>
    <row r="85" spans="1:22">
      <c r="A85" s="27"/>
      <c r="B85" s="22"/>
      <c r="C85" s="33"/>
      <c r="D85" s="30"/>
      <c r="E85" s="22"/>
      <c r="F85" s="33"/>
      <c r="G85" s="30"/>
      <c r="H85" s="22"/>
      <c r="I85" s="22"/>
    </row>
    <row r="86" spans="1:22">
      <c r="A86" s="27"/>
      <c r="B86" s="22"/>
      <c r="C86" s="33"/>
      <c r="D86" s="30"/>
      <c r="E86" s="22"/>
      <c r="F86" s="33"/>
      <c r="G86" s="30"/>
      <c r="H86" s="22"/>
      <c r="I86" s="22"/>
    </row>
    <row r="87" spans="1:22">
      <c r="A87" s="27"/>
      <c r="B87" s="27"/>
      <c r="C87" s="32"/>
      <c r="D87" s="30"/>
      <c r="E87" s="27"/>
      <c r="F87" s="32"/>
      <c r="G87" s="30"/>
      <c r="H87" s="27"/>
      <c r="I87" s="27"/>
    </row>
    <row r="88" spans="1:22">
      <c r="A88" s="27"/>
      <c r="B88" s="27"/>
      <c r="C88" s="32"/>
      <c r="D88" s="30"/>
      <c r="E88" s="27"/>
      <c r="F88" s="32"/>
      <c r="G88" s="30"/>
      <c r="H88" s="27"/>
      <c r="I88" s="27"/>
    </row>
    <row r="89" spans="1:22">
      <c r="A89" s="27"/>
      <c r="B89" s="27"/>
      <c r="C89" s="32"/>
      <c r="D89" s="30"/>
      <c r="E89" s="27"/>
      <c r="F89" s="32"/>
      <c r="G89" s="30"/>
      <c r="H89" s="27"/>
      <c r="I89" s="27"/>
    </row>
    <row r="90" spans="1:22">
      <c r="A90" s="27"/>
      <c r="B90" s="27"/>
      <c r="C90" s="32"/>
      <c r="D90" s="30"/>
      <c r="E90" s="27"/>
      <c r="F90" s="32"/>
      <c r="G90" s="30"/>
      <c r="H90" s="27"/>
      <c r="I90" s="27"/>
    </row>
    <row r="91" spans="1:22" s="14" customFormat="1">
      <c r="B91" s="14" t="s">
        <v>81</v>
      </c>
      <c r="C91" s="14" t="s">
        <v>82</v>
      </c>
      <c r="E91" s="14" t="s">
        <v>81</v>
      </c>
      <c r="F91" s="14" t="s">
        <v>82</v>
      </c>
      <c r="H91" s="14" t="s">
        <v>81</v>
      </c>
      <c r="I91" s="14" t="s">
        <v>82</v>
      </c>
      <c r="J91" s="14" t="s">
        <v>5</v>
      </c>
      <c r="K91" s="14" t="s">
        <v>83</v>
      </c>
      <c r="L91" s="14" t="s">
        <v>84</v>
      </c>
      <c r="M91" s="14" t="s">
        <v>159</v>
      </c>
      <c r="N91" s="14" t="s">
        <v>160</v>
      </c>
      <c r="O91" s="14" t="s">
        <v>8</v>
      </c>
      <c r="P91" s="14" t="s">
        <v>11</v>
      </c>
      <c r="Q91" s="14" t="s">
        <v>9</v>
      </c>
      <c r="R91" s="14" t="s">
        <v>38</v>
      </c>
      <c r="S91" s="14" t="s">
        <v>39</v>
      </c>
      <c r="T91" s="14" t="s">
        <v>161</v>
      </c>
      <c r="U91" s="154" t="s">
        <v>185</v>
      </c>
      <c r="V91" s="154" t="s">
        <v>176</v>
      </c>
    </row>
    <row r="92" spans="1:22">
      <c r="A92" s="3">
        <f>_xlfn.RANK.EQ(B92,B76:B92)</f>
        <v>6</v>
      </c>
      <c r="B92" s="4">
        <f>計算シート!F18</f>
        <v>0</v>
      </c>
      <c r="C92" s="4">
        <f>VLOOKUP(A92,A76:C90,3,FALSE)</f>
        <v>0</v>
      </c>
      <c r="D92" s="3">
        <f>_xlfn.RANK.EQ(E92,E76:E92)</f>
        <v>6</v>
      </c>
      <c r="E92" s="4">
        <f>計算シート!G18</f>
        <v>0</v>
      </c>
      <c r="F92" s="4">
        <f>VLOOKUP(D92,D76:F90,3,FALSE)</f>
        <v>0</v>
      </c>
      <c r="G92" s="3">
        <f>_xlfn.RANK.EQ(H92,H76:H92)</f>
        <v>6</v>
      </c>
      <c r="H92" s="4">
        <f>計算シート!G18</f>
        <v>0</v>
      </c>
      <c r="I92" s="4">
        <f>VLOOKUP(G92,G76:I90,3,FALSE)</f>
        <v>0</v>
      </c>
      <c r="J92" s="2">
        <f>IF(計算シート!E18&gt;=65,I92,F92)</f>
        <v>0</v>
      </c>
      <c r="K92" s="15">
        <f>IF(計算シート!E18&gt;=65,MAX(I92-150000,0),F92)</f>
        <v>0</v>
      </c>
      <c r="L92" s="5">
        <f>計算シート!H18</f>
        <v>0</v>
      </c>
      <c r="M92" s="5">
        <f>IF(AND(C92&gt;0,J92&gt;0),MIN(C92,100000)+MIN(J92,100000)-100000,0)</f>
        <v>0</v>
      </c>
      <c r="N92" s="5">
        <f>C92-M92</f>
        <v>0</v>
      </c>
      <c r="O92" s="5">
        <f>SUM(N92,J92,L92)*C74</f>
        <v>0</v>
      </c>
      <c r="P92" s="5">
        <f>MAX(O92-430000,0)</f>
        <v>0</v>
      </c>
      <c r="Q92" s="5">
        <f>MAX(SUM(N92,K92,L92,M92),0)</f>
        <v>0</v>
      </c>
      <c r="R92" s="15">
        <f>IF(AND(B74&gt;=40,B74&lt;65),C74,0)</f>
        <v>0</v>
      </c>
      <c r="S92" s="15">
        <f>P92*R92</f>
        <v>0</v>
      </c>
      <c r="T92" s="15">
        <f>IF(OR(C92&gt;0,J92&gt;0),1,0)</f>
        <v>0</v>
      </c>
      <c r="U92" s="15">
        <f>IF(B74&gt;=7,1,0)</f>
        <v>0</v>
      </c>
      <c r="V92" s="15">
        <f>IF(B74&gt;=18,1,0)</f>
        <v>0</v>
      </c>
    </row>
    <row r="93" spans="1:22" ht="14.25" thickBot="1">
      <c r="B93" s="8" t="s">
        <v>167</v>
      </c>
      <c r="C93" s="8" t="s">
        <v>103</v>
      </c>
    </row>
    <row r="94" spans="1:22" ht="14.25" thickBot="1">
      <c r="A94" s="7">
        <v>3</v>
      </c>
      <c r="B94" s="145">
        <f>計算シート!E19</f>
        <v>0</v>
      </c>
      <c r="C94" s="71">
        <f>IF($C$11+1-$C$54&gt;=3,1,0)</f>
        <v>0</v>
      </c>
      <c r="D94" s="352" t="s">
        <v>6</v>
      </c>
      <c r="E94" s="352"/>
      <c r="F94" s="353"/>
      <c r="G94" s="352" t="s">
        <v>7</v>
      </c>
      <c r="H94" s="352"/>
      <c r="I94" s="360"/>
    </row>
    <row r="95" spans="1:22">
      <c r="A95" s="1" t="s">
        <v>4</v>
      </c>
      <c r="B95" s="1" t="s">
        <v>1</v>
      </c>
      <c r="C95" s="75" t="s">
        <v>3</v>
      </c>
      <c r="D95" s="29" t="s">
        <v>4</v>
      </c>
      <c r="E95" s="1" t="s">
        <v>2</v>
      </c>
      <c r="F95" s="31" t="s">
        <v>5</v>
      </c>
      <c r="G95" s="29" t="s">
        <v>4</v>
      </c>
      <c r="H95" s="1" t="s">
        <v>2</v>
      </c>
      <c r="I95" s="1" t="s">
        <v>5</v>
      </c>
    </row>
    <row r="96" spans="1:22">
      <c r="A96" s="27">
        <v>6</v>
      </c>
      <c r="B96" s="22"/>
      <c r="C96" s="32">
        <v>0</v>
      </c>
      <c r="D96" s="30">
        <v>6</v>
      </c>
      <c r="E96" s="22"/>
      <c r="F96" s="32">
        <v>0</v>
      </c>
      <c r="G96" s="30">
        <v>6</v>
      </c>
      <c r="H96" s="22"/>
      <c r="I96" s="27">
        <v>0</v>
      </c>
    </row>
    <row r="97" spans="1:22">
      <c r="A97" s="27">
        <v>5</v>
      </c>
      <c r="B97" s="22">
        <v>650000</v>
      </c>
      <c r="C97" s="33">
        <f>B112-650000</f>
        <v>-650000</v>
      </c>
      <c r="D97" s="30">
        <v>5</v>
      </c>
      <c r="E97" s="22">
        <v>600000</v>
      </c>
      <c r="F97" s="33">
        <f>E112-600000</f>
        <v>-600000</v>
      </c>
      <c r="G97" s="30">
        <v>5</v>
      </c>
      <c r="H97" s="22">
        <v>1100000</v>
      </c>
      <c r="I97" s="22">
        <f>H112-1100000</f>
        <v>-1100000</v>
      </c>
    </row>
    <row r="98" spans="1:22">
      <c r="A98" s="27">
        <v>4</v>
      </c>
      <c r="B98" s="22">
        <v>1900000</v>
      </c>
      <c r="C98" s="33">
        <f>ROUNDDOWN(B112/4,-3)*2.8-80000</f>
        <v>-80000</v>
      </c>
      <c r="D98" s="30">
        <v>4</v>
      </c>
      <c r="E98" s="22">
        <v>1300000</v>
      </c>
      <c r="F98" s="33">
        <f>E112*0.75-275000</f>
        <v>-275000</v>
      </c>
      <c r="G98" s="30">
        <v>4</v>
      </c>
      <c r="H98" s="22">
        <v>3300000</v>
      </c>
      <c r="I98" s="22">
        <f>H112*0.75-275000</f>
        <v>-275000</v>
      </c>
    </row>
    <row r="99" spans="1:22">
      <c r="A99" s="27">
        <v>3</v>
      </c>
      <c r="B99" s="22">
        <v>3600000</v>
      </c>
      <c r="C99" s="33">
        <f>ROUNDDOWN(B112/4,-3)*3.2-440000</f>
        <v>-440000</v>
      </c>
      <c r="D99" s="30">
        <v>3</v>
      </c>
      <c r="E99" s="22">
        <v>4100000</v>
      </c>
      <c r="F99" s="33">
        <f>E112*0.85-685000</f>
        <v>-685000</v>
      </c>
      <c r="G99" s="30">
        <v>3</v>
      </c>
      <c r="H99" s="22">
        <v>4100000</v>
      </c>
      <c r="I99" s="22">
        <f>H112*0.85-685000</f>
        <v>-685000</v>
      </c>
    </row>
    <row r="100" spans="1:22">
      <c r="A100" s="27">
        <v>2</v>
      </c>
      <c r="B100" s="22">
        <v>6600000</v>
      </c>
      <c r="C100" s="33">
        <f>B112*0.9-1100000</f>
        <v>-1100000</v>
      </c>
      <c r="D100" s="30">
        <v>2</v>
      </c>
      <c r="E100" s="22">
        <v>7700000</v>
      </c>
      <c r="F100" s="33">
        <f>E112*0.95-1455000</f>
        <v>-1455000</v>
      </c>
      <c r="G100" s="30">
        <v>2</v>
      </c>
      <c r="H100" s="22">
        <v>7700000</v>
      </c>
      <c r="I100" s="22">
        <f>H112*0.95-1455000</f>
        <v>-1455000</v>
      </c>
    </row>
    <row r="101" spans="1:22">
      <c r="A101" s="27">
        <v>1</v>
      </c>
      <c r="B101" s="22">
        <v>8500000</v>
      </c>
      <c r="C101" s="33">
        <f>B112-1950000</f>
        <v>-1950000</v>
      </c>
      <c r="D101" s="30">
        <v>1</v>
      </c>
      <c r="E101" s="22">
        <v>10000000</v>
      </c>
      <c r="F101" s="33">
        <f>E112-1955000</f>
        <v>-1955000</v>
      </c>
      <c r="G101" s="30">
        <v>1</v>
      </c>
      <c r="H101" s="22">
        <v>10000000</v>
      </c>
      <c r="I101" s="22">
        <f>H112-1955000</f>
        <v>-1955000</v>
      </c>
    </row>
    <row r="102" spans="1:22">
      <c r="A102" s="27"/>
      <c r="B102" s="22"/>
      <c r="C102" s="33"/>
      <c r="D102" s="30"/>
      <c r="E102" s="22"/>
      <c r="F102" s="33"/>
      <c r="G102" s="30"/>
      <c r="H102" s="22"/>
      <c r="I102" s="22"/>
    </row>
    <row r="103" spans="1:22">
      <c r="A103" s="27"/>
      <c r="B103" s="22"/>
      <c r="C103" s="33"/>
      <c r="D103" s="30"/>
      <c r="E103" s="22"/>
      <c r="F103" s="33"/>
      <c r="G103" s="30"/>
      <c r="H103" s="22"/>
      <c r="I103" s="22"/>
    </row>
    <row r="104" spans="1:22">
      <c r="A104" s="27"/>
      <c r="B104" s="22"/>
      <c r="C104" s="33"/>
      <c r="D104" s="30"/>
      <c r="E104" s="22"/>
      <c r="F104" s="33"/>
      <c r="G104" s="30"/>
      <c r="H104" s="22"/>
      <c r="I104" s="22"/>
    </row>
    <row r="105" spans="1:22">
      <c r="A105" s="27"/>
      <c r="B105" s="22"/>
      <c r="C105" s="33"/>
      <c r="D105" s="30"/>
      <c r="E105" s="22"/>
      <c r="F105" s="33"/>
      <c r="G105" s="30"/>
      <c r="H105" s="22"/>
      <c r="I105" s="22"/>
    </row>
    <row r="106" spans="1:22">
      <c r="A106" s="27"/>
      <c r="B106" s="22"/>
      <c r="C106" s="33"/>
      <c r="D106" s="30"/>
      <c r="E106" s="22"/>
      <c r="F106" s="33"/>
      <c r="G106" s="30"/>
      <c r="H106" s="22"/>
      <c r="I106" s="22"/>
    </row>
    <row r="107" spans="1:22">
      <c r="A107" s="27"/>
      <c r="B107" s="27"/>
      <c r="C107" s="32"/>
      <c r="D107" s="30"/>
      <c r="E107" s="27"/>
      <c r="F107" s="32"/>
      <c r="G107" s="30"/>
      <c r="H107" s="27"/>
      <c r="I107" s="27"/>
    </row>
    <row r="108" spans="1:22">
      <c r="A108" s="27"/>
      <c r="B108" s="27"/>
      <c r="C108" s="32"/>
      <c r="D108" s="30"/>
      <c r="E108" s="27"/>
      <c r="F108" s="32"/>
      <c r="G108" s="30"/>
      <c r="H108" s="27"/>
      <c r="I108" s="27"/>
    </row>
    <row r="109" spans="1:22">
      <c r="A109" s="27"/>
      <c r="B109" s="27"/>
      <c r="C109" s="32"/>
      <c r="D109" s="30"/>
      <c r="E109" s="27"/>
      <c r="F109" s="32"/>
      <c r="G109" s="30"/>
      <c r="H109" s="27"/>
      <c r="I109" s="27"/>
    </row>
    <row r="110" spans="1:22">
      <c r="A110" s="27"/>
      <c r="B110" s="27"/>
      <c r="C110" s="32"/>
      <c r="D110" s="30"/>
      <c r="E110" s="27"/>
      <c r="F110" s="32"/>
      <c r="G110" s="30"/>
      <c r="H110" s="27"/>
      <c r="I110" s="27"/>
    </row>
    <row r="111" spans="1:22" s="14" customFormat="1">
      <c r="B111" s="14" t="s">
        <v>81</v>
      </c>
      <c r="C111" s="14" t="s">
        <v>82</v>
      </c>
      <c r="E111" s="14" t="s">
        <v>81</v>
      </c>
      <c r="F111" s="14" t="s">
        <v>82</v>
      </c>
      <c r="H111" s="14" t="s">
        <v>81</v>
      </c>
      <c r="I111" s="14" t="s">
        <v>82</v>
      </c>
      <c r="J111" s="14" t="s">
        <v>5</v>
      </c>
      <c r="K111" s="14" t="s">
        <v>83</v>
      </c>
      <c r="L111" s="14" t="s">
        <v>84</v>
      </c>
      <c r="M111" s="14" t="s">
        <v>159</v>
      </c>
      <c r="N111" s="14" t="s">
        <v>160</v>
      </c>
      <c r="O111" s="14" t="s">
        <v>8</v>
      </c>
      <c r="P111" s="14" t="s">
        <v>11</v>
      </c>
      <c r="Q111" s="14" t="s">
        <v>9</v>
      </c>
      <c r="R111" s="14" t="s">
        <v>38</v>
      </c>
      <c r="S111" s="14" t="s">
        <v>39</v>
      </c>
      <c r="T111" s="14" t="s">
        <v>161</v>
      </c>
      <c r="U111" s="154" t="s">
        <v>185</v>
      </c>
      <c r="V111" s="154" t="s">
        <v>176</v>
      </c>
    </row>
    <row r="112" spans="1:22">
      <c r="A112" s="3">
        <f>_xlfn.RANK.EQ(B112,B96:B112)</f>
        <v>6</v>
      </c>
      <c r="B112" s="4">
        <f>計算シート!F19</f>
        <v>0</v>
      </c>
      <c r="C112" s="4">
        <f>VLOOKUP(A112,A96:C110,3,FALSE)</f>
        <v>0</v>
      </c>
      <c r="D112" s="3">
        <f>_xlfn.RANK.EQ(E112,E96:E112)</f>
        <v>6</v>
      </c>
      <c r="E112" s="4">
        <f>計算シート!G19</f>
        <v>0</v>
      </c>
      <c r="F112" s="4">
        <f>VLOOKUP(D112,D96:F110,3,FALSE)</f>
        <v>0</v>
      </c>
      <c r="G112" s="3">
        <f>_xlfn.RANK.EQ(H112,H96:H112)</f>
        <v>6</v>
      </c>
      <c r="H112" s="4">
        <f>計算シート!G19</f>
        <v>0</v>
      </c>
      <c r="I112" s="4">
        <f>VLOOKUP(G112,G96:I110,3,FALSE)</f>
        <v>0</v>
      </c>
      <c r="J112" s="2">
        <f>IF(計算シート!E19&gt;=65,I112,F112)</f>
        <v>0</v>
      </c>
      <c r="K112" s="15">
        <f>IF(計算シート!E19&gt;=65,MAX(I112-150000,0),F112)</f>
        <v>0</v>
      </c>
      <c r="L112" s="5">
        <f>計算シート!H19</f>
        <v>0</v>
      </c>
      <c r="M112" s="5">
        <f>IF(AND(C112&gt;0,J112&gt;0),MIN(C112,100000)+MIN(J112,100000)-100000,0)</f>
        <v>0</v>
      </c>
      <c r="N112" s="5">
        <f>C112-M112</f>
        <v>0</v>
      </c>
      <c r="O112" s="5">
        <f>SUM(N112,J112,L112)*C94</f>
        <v>0</v>
      </c>
      <c r="P112" s="5">
        <f>MAX(O112-430000,0)</f>
        <v>0</v>
      </c>
      <c r="Q112" s="5">
        <f>MAX(SUM(N112,K112,L112,M112),0)</f>
        <v>0</v>
      </c>
      <c r="R112" s="15">
        <f>IF(AND(B94&gt;=40,B94&lt;65),C94,0)</f>
        <v>0</v>
      </c>
      <c r="S112" s="15">
        <f>P112*R112</f>
        <v>0</v>
      </c>
      <c r="T112" s="15">
        <f>IF(OR(C112&gt;0,J112&gt;0),1,0)</f>
        <v>0</v>
      </c>
      <c r="U112" s="15">
        <f>IF(B94&gt;=7,1,0)</f>
        <v>0</v>
      </c>
      <c r="V112" s="15">
        <f>IF(B94&gt;=18,1,0)</f>
        <v>0</v>
      </c>
    </row>
    <row r="113" spans="1:9" ht="14.25" thickBot="1">
      <c r="B113" s="8" t="s">
        <v>167</v>
      </c>
      <c r="C113" s="8" t="s">
        <v>103</v>
      </c>
    </row>
    <row r="114" spans="1:9" ht="14.25" thickBot="1">
      <c r="A114" s="7">
        <v>4</v>
      </c>
      <c r="B114" s="145">
        <f>計算シート!E20</f>
        <v>0</v>
      </c>
      <c r="C114" s="71">
        <f>IF($C$11+1-$C$54&gt;=4,1,0)</f>
        <v>0</v>
      </c>
      <c r="D114" s="352" t="s">
        <v>6</v>
      </c>
      <c r="E114" s="352"/>
      <c r="F114" s="353"/>
      <c r="G114" s="352" t="s">
        <v>7</v>
      </c>
      <c r="H114" s="352"/>
      <c r="I114" s="360"/>
    </row>
    <row r="115" spans="1:9">
      <c r="A115" s="1" t="s">
        <v>4</v>
      </c>
      <c r="B115" s="1" t="s">
        <v>1</v>
      </c>
      <c r="C115" s="75" t="s">
        <v>3</v>
      </c>
      <c r="D115" s="29" t="s">
        <v>4</v>
      </c>
      <c r="E115" s="1" t="s">
        <v>2</v>
      </c>
      <c r="F115" s="31" t="s">
        <v>5</v>
      </c>
      <c r="G115" s="29" t="s">
        <v>4</v>
      </c>
      <c r="H115" s="1" t="s">
        <v>2</v>
      </c>
      <c r="I115" s="1" t="s">
        <v>5</v>
      </c>
    </row>
    <row r="116" spans="1:9">
      <c r="A116" s="27">
        <v>6</v>
      </c>
      <c r="B116" s="22"/>
      <c r="C116" s="32">
        <v>0</v>
      </c>
      <c r="D116" s="30">
        <v>6</v>
      </c>
      <c r="E116" s="22"/>
      <c r="F116" s="32">
        <v>0</v>
      </c>
      <c r="G116" s="30">
        <v>6</v>
      </c>
      <c r="H116" s="22"/>
      <c r="I116" s="27">
        <v>0</v>
      </c>
    </row>
    <row r="117" spans="1:9">
      <c r="A117" s="27">
        <v>5</v>
      </c>
      <c r="B117" s="22">
        <v>650000</v>
      </c>
      <c r="C117" s="33">
        <f>B132-650000</f>
        <v>-650000</v>
      </c>
      <c r="D117" s="30">
        <v>5</v>
      </c>
      <c r="E117" s="22">
        <v>600000</v>
      </c>
      <c r="F117" s="33">
        <f>E132-600000</f>
        <v>-600000</v>
      </c>
      <c r="G117" s="30">
        <v>5</v>
      </c>
      <c r="H117" s="22">
        <v>1100000</v>
      </c>
      <c r="I117" s="22">
        <f>H132-1100000</f>
        <v>-1100000</v>
      </c>
    </row>
    <row r="118" spans="1:9">
      <c r="A118" s="27">
        <v>4</v>
      </c>
      <c r="B118" s="22">
        <v>1900000</v>
      </c>
      <c r="C118" s="33">
        <f>ROUNDDOWN(B132/4,-3)*2.8-80000</f>
        <v>-80000</v>
      </c>
      <c r="D118" s="30">
        <v>4</v>
      </c>
      <c r="E118" s="22">
        <v>1300000</v>
      </c>
      <c r="F118" s="33">
        <f>E132*0.75-275000</f>
        <v>-275000</v>
      </c>
      <c r="G118" s="30">
        <v>4</v>
      </c>
      <c r="H118" s="22">
        <v>3300000</v>
      </c>
      <c r="I118" s="22">
        <f>H132*0.75-275000</f>
        <v>-275000</v>
      </c>
    </row>
    <row r="119" spans="1:9">
      <c r="A119" s="27">
        <v>3</v>
      </c>
      <c r="B119" s="22">
        <v>3600000</v>
      </c>
      <c r="C119" s="33">
        <f>ROUNDDOWN(B132/4,-3)*3.2-440000</f>
        <v>-440000</v>
      </c>
      <c r="D119" s="30">
        <v>3</v>
      </c>
      <c r="E119" s="22">
        <v>4100000</v>
      </c>
      <c r="F119" s="33">
        <f>E132*0.85-685000</f>
        <v>-685000</v>
      </c>
      <c r="G119" s="30">
        <v>3</v>
      </c>
      <c r="H119" s="22">
        <v>4100000</v>
      </c>
      <c r="I119" s="22">
        <f>H132*0.85-685000</f>
        <v>-685000</v>
      </c>
    </row>
    <row r="120" spans="1:9">
      <c r="A120" s="27">
        <v>2</v>
      </c>
      <c r="B120" s="22">
        <v>6600000</v>
      </c>
      <c r="C120" s="33">
        <f>B132*0.9-1100000</f>
        <v>-1100000</v>
      </c>
      <c r="D120" s="30">
        <v>2</v>
      </c>
      <c r="E120" s="22">
        <v>7700000</v>
      </c>
      <c r="F120" s="33">
        <f>E132*0.95-1455000</f>
        <v>-1455000</v>
      </c>
      <c r="G120" s="30">
        <v>2</v>
      </c>
      <c r="H120" s="22">
        <v>7700000</v>
      </c>
      <c r="I120" s="22">
        <f>H132*0.95-1455000</f>
        <v>-1455000</v>
      </c>
    </row>
    <row r="121" spans="1:9">
      <c r="A121" s="27">
        <v>1</v>
      </c>
      <c r="B121" s="22">
        <v>8500000</v>
      </c>
      <c r="C121" s="33">
        <f>B132-1950000</f>
        <v>-1950000</v>
      </c>
      <c r="D121" s="30">
        <v>1</v>
      </c>
      <c r="E121" s="22">
        <v>10000000</v>
      </c>
      <c r="F121" s="33">
        <f>E132-1955000</f>
        <v>-1955000</v>
      </c>
      <c r="G121" s="30">
        <v>1</v>
      </c>
      <c r="H121" s="22">
        <v>10000000</v>
      </c>
      <c r="I121" s="22">
        <f>H132-1955000</f>
        <v>-1955000</v>
      </c>
    </row>
    <row r="122" spans="1:9">
      <c r="A122" s="27"/>
      <c r="B122" s="22"/>
      <c r="C122" s="33"/>
      <c r="D122" s="30"/>
      <c r="E122" s="22"/>
      <c r="F122" s="33"/>
      <c r="G122" s="30"/>
      <c r="H122" s="22"/>
      <c r="I122" s="22"/>
    </row>
    <row r="123" spans="1:9">
      <c r="A123" s="27"/>
      <c r="B123" s="22"/>
      <c r="C123" s="33"/>
      <c r="D123" s="30"/>
      <c r="E123" s="22"/>
      <c r="F123" s="33"/>
      <c r="G123" s="30"/>
      <c r="H123" s="22"/>
      <c r="I123" s="22"/>
    </row>
    <row r="124" spans="1:9">
      <c r="A124" s="27"/>
      <c r="B124" s="22"/>
      <c r="C124" s="33"/>
      <c r="D124" s="30"/>
      <c r="E124" s="22"/>
      <c r="F124" s="33"/>
      <c r="G124" s="30"/>
      <c r="H124" s="22"/>
      <c r="I124" s="22"/>
    </row>
    <row r="125" spans="1:9">
      <c r="A125" s="27"/>
      <c r="B125" s="22"/>
      <c r="C125" s="33"/>
      <c r="D125" s="30"/>
      <c r="E125" s="22"/>
      <c r="F125" s="33"/>
      <c r="G125" s="30"/>
      <c r="H125" s="22"/>
      <c r="I125" s="22"/>
    </row>
    <row r="126" spans="1:9">
      <c r="A126" s="27"/>
      <c r="B126" s="22"/>
      <c r="C126" s="33"/>
      <c r="D126" s="30"/>
      <c r="E126" s="22"/>
      <c r="F126" s="33"/>
      <c r="G126" s="30"/>
      <c r="H126" s="22"/>
      <c r="I126" s="22"/>
    </row>
    <row r="127" spans="1:9">
      <c r="A127" s="27"/>
      <c r="B127" s="27"/>
      <c r="C127" s="32"/>
      <c r="D127" s="30"/>
      <c r="E127" s="27"/>
      <c r="F127" s="32"/>
      <c r="G127" s="30"/>
      <c r="H127" s="27"/>
      <c r="I127" s="27"/>
    </row>
    <row r="128" spans="1:9">
      <c r="A128" s="27"/>
      <c r="B128" s="27"/>
      <c r="C128" s="32"/>
      <c r="D128" s="30"/>
      <c r="E128" s="27"/>
      <c r="F128" s="32"/>
      <c r="G128" s="30"/>
      <c r="H128" s="27"/>
      <c r="I128" s="27"/>
    </row>
    <row r="129" spans="1:22">
      <c r="A129" s="27"/>
      <c r="B129" s="27"/>
      <c r="C129" s="32"/>
      <c r="D129" s="30"/>
      <c r="E129" s="27"/>
      <c r="F129" s="32"/>
      <c r="G129" s="30"/>
      <c r="H129" s="27"/>
      <c r="I129" s="27"/>
    </row>
    <row r="130" spans="1:22">
      <c r="A130" s="27"/>
      <c r="B130" s="27"/>
      <c r="C130" s="32"/>
      <c r="D130" s="30"/>
      <c r="E130" s="27"/>
      <c r="F130" s="32"/>
      <c r="G130" s="30"/>
      <c r="H130" s="27"/>
      <c r="I130" s="27"/>
    </row>
    <row r="131" spans="1:22" s="14" customFormat="1">
      <c r="B131" s="14" t="s">
        <v>81</v>
      </c>
      <c r="C131" s="14" t="s">
        <v>82</v>
      </c>
      <c r="E131" s="14" t="s">
        <v>81</v>
      </c>
      <c r="F131" s="14" t="s">
        <v>82</v>
      </c>
      <c r="H131" s="14" t="s">
        <v>81</v>
      </c>
      <c r="I131" s="14" t="s">
        <v>82</v>
      </c>
      <c r="J131" s="14" t="s">
        <v>5</v>
      </c>
      <c r="K131" s="14" t="s">
        <v>83</v>
      </c>
      <c r="L131" s="14" t="s">
        <v>84</v>
      </c>
      <c r="M131" s="14" t="s">
        <v>159</v>
      </c>
      <c r="N131" s="14" t="s">
        <v>160</v>
      </c>
      <c r="O131" s="14" t="s">
        <v>8</v>
      </c>
      <c r="P131" s="14" t="s">
        <v>11</v>
      </c>
      <c r="Q131" s="14" t="s">
        <v>9</v>
      </c>
      <c r="R131" s="14" t="s">
        <v>38</v>
      </c>
      <c r="S131" s="14" t="s">
        <v>39</v>
      </c>
      <c r="T131" s="14" t="s">
        <v>161</v>
      </c>
      <c r="U131" s="154" t="s">
        <v>185</v>
      </c>
      <c r="V131" s="154" t="s">
        <v>176</v>
      </c>
    </row>
    <row r="132" spans="1:22">
      <c r="A132" s="3">
        <f>_xlfn.RANK.EQ(B132,B116:B132)</f>
        <v>6</v>
      </c>
      <c r="B132" s="4">
        <f>計算シート!F20</f>
        <v>0</v>
      </c>
      <c r="C132" s="4">
        <f>VLOOKUP(A132,A116:C130,3,FALSE)</f>
        <v>0</v>
      </c>
      <c r="D132" s="3">
        <f>_xlfn.RANK.EQ(E132,E116:E132)</f>
        <v>6</v>
      </c>
      <c r="E132" s="4">
        <f>計算シート!G20</f>
        <v>0</v>
      </c>
      <c r="F132" s="4">
        <f>VLOOKUP(D132,D116:F130,3,FALSE)</f>
        <v>0</v>
      </c>
      <c r="G132" s="3">
        <f>_xlfn.RANK.EQ(H132,H116:H132)</f>
        <v>6</v>
      </c>
      <c r="H132" s="4">
        <f>計算シート!G20</f>
        <v>0</v>
      </c>
      <c r="I132" s="4">
        <f>VLOOKUP(G132,G116:I130,3,FALSE)</f>
        <v>0</v>
      </c>
      <c r="J132" s="2">
        <f>IF(計算シート!E20&gt;=65,I132,F132)</f>
        <v>0</v>
      </c>
      <c r="K132" s="15">
        <f>IF(計算シート!E20&gt;=65,MAX(I132-150000,0),F132)</f>
        <v>0</v>
      </c>
      <c r="L132" s="5">
        <f>計算シート!H20</f>
        <v>0</v>
      </c>
      <c r="M132" s="5">
        <f>IF(AND(C132&gt;0,J132&gt;0),MIN(C132,100000)+MIN(J132,100000)-100000,0)</f>
        <v>0</v>
      </c>
      <c r="N132" s="5">
        <f>C132-M132</f>
        <v>0</v>
      </c>
      <c r="O132" s="5">
        <f>SUM(N132,J132,L132)*C114</f>
        <v>0</v>
      </c>
      <c r="P132" s="5">
        <f>MAX(O132-430000,0)</f>
        <v>0</v>
      </c>
      <c r="Q132" s="5">
        <f>MAX(SUM(N132,K132,L132,M132),0)</f>
        <v>0</v>
      </c>
      <c r="R132" s="15">
        <f>IF(AND(B114&gt;=40,B114&lt;65),C114,0)</f>
        <v>0</v>
      </c>
      <c r="S132" s="15">
        <f>P132*R132</f>
        <v>0</v>
      </c>
      <c r="T132" s="15">
        <f>IF(OR(C132&gt;0,J132&gt;0),1,0)</f>
        <v>0</v>
      </c>
      <c r="U132" s="15">
        <f>IF(B114&gt;=7,1,0)</f>
        <v>0</v>
      </c>
      <c r="V132" s="15">
        <f>IF(B114&gt;=18,1,0)</f>
        <v>0</v>
      </c>
    </row>
    <row r="133" spans="1:22" ht="14.25" thickBot="1">
      <c r="B133" s="8" t="s">
        <v>167</v>
      </c>
      <c r="C133" s="8" t="s">
        <v>103</v>
      </c>
    </row>
    <row r="134" spans="1:22" ht="14.25" thickBot="1">
      <c r="A134" s="7">
        <v>5</v>
      </c>
      <c r="B134" s="145">
        <f>計算シート!E21</f>
        <v>0</v>
      </c>
      <c r="C134" s="71">
        <f>IF($C$11+1-$C$54&gt;=5,1,0)</f>
        <v>0</v>
      </c>
      <c r="D134" s="352" t="s">
        <v>6</v>
      </c>
      <c r="E134" s="352"/>
      <c r="F134" s="353"/>
      <c r="G134" s="352" t="s">
        <v>7</v>
      </c>
      <c r="H134" s="352"/>
      <c r="I134" s="360"/>
    </row>
    <row r="135" spans="1:22">
      <c r="A135" s="1" t="s">
        <v>4</v>
      </c>
      <c r="B135" s="1" t="s">
        <v>1</v>
      </c>
      <c r="C135" s="75" t="s">
        <v>3</v>
      </c>
      <c r="D135" s="29" t="s">
        <v>4</v>
      </c>
      <c r="E135" s="1" t="s">
        <v>2</v>
      </c>
      <c r="F135" s="31" t="s">
        <v>5</v>
      </c>
      <c r="G135" s="29" t="s">
        <v>4</v>
      </c>
      <c r="H135" s="1" t="s">
        <v>2</v>
      </c>
      <c r="I135" s="1" t="s">
        <v>5</v>
      </c>
    </row>
    <row r="136" spans="1:22">
      <c r="A136" s="27">
        <v>6</v>
      </c>
      <c r="B136" s="22"/>
      <c r="C136" s="32">
        <v>0</v>
      </c>
      <c r="D136" s="30">
        <v>6</v>
      </c>
      <c r="E136" s="22"/>
      <c r="F136" s="32">
        <v>0</v>
      </c>
      <c r="G136" s="30">
        <v>6</v>
      </c>
      <c r="H136" s="22"/>
      <c r="I136" s="27">
        <v>0</v>
      </c>
    </row>
    <row r="137" spans="1:22">
      <c r="A137" s="27">
        <v>5</v>
      </c>
      <c r="B137" s="22">
        <v>650000</v>
      </c>
      <c r="C137" s="33">
        <f>B152-650000</f>
        <v>-650000</v>
      </c>
      <c r="D137" s="30">
        <v>5</v>
      </c>
      <c r="E137" s="22">
        <v>600000</v>
      </c>
      <c r="F137" s="33">
        <f>E152-600000</f>
        <v>-600000</v>
      </c>
      <c r="G137" s="30">
        <v>5</v>
      </c>
      <c r="H137" s="22">
        <v>1100000</v>
      </c>
      <c r="I137" s="22">
        <f>H152-1100000</f>
        <v>-1100000</v>
      </c>
    </row>
    <row r="138" spans="1:22">
      <c r="A138" s="27">
        <v>4</v>
      </c>
      <c r="B138" s="22">
        <v>1900000</v>
      </c>
      <c r="C138" s="33">
        <f>ROUNDDOWN(B152/4,-3)*2.8-80000</f>
        <v>-80000</v>
      </c>
      <c r="D138" s="30">
        <v>4</v>
      </c>
      <c r="E138" s="22">
        <v>1300000</v>
      </c>
      <c r="F138" s="33">
        <f>E152*0.75-275000</f>
        <v>-275000</v>
      </c>
      <c r="G138" s="30">
        <v>4</v>
      </c>
      <c r="H138" s="22">
        <v>3300000</v>
      </c>
      <c r="I138" s="22">
        <f>H152*0.75-275000</f>
        <v>-275000</v>
      </c>
    </row>
    <row r="139" spans="1:22">
      <c r="A139" s="27">
        <v>3</v>
      </c>
      <c r="B139" s="22">
        <v>3600000</v>
      </c>
      <c r="C139" s="33">
        <f>ROUNDDOWN(B152/4,-3)*3.2-440000</f>
        <v>-440000</v>
      </c>
      <c r="D139" s="30">
        <v>3</v>
      </c>
      <c r="E139" s="22">
        <v>4100000</v>
      </c>
      <c r="F139" s="33">
        <f>E152*0.85-685000</f>
        <v>-685000</v>
      </c>
      <c r="G139" s="30">
        <v>3</v>
      </c>
      <c r="H139" s="22">
        <v>4100000</v>
      </c>
      <c r="I139" s="22">
        <f>H152*0.85-685000</f>
        <v>-685000</v>
      </c>
    </row>
    <row r="140" spans="1:22">
      <c r="A140" s="27">
        <v>2</v>
      </c>
      <c r="B140" s="22">
        <v>6600000</v>
      </c>
      <c r="C140" s="33">
        <f>B152*0.9-1100000</f>
        <v>-1100000</v>
      </c>
      <c r="D140" s="30">
        <v>2</v>
      </c>
      <c r="E140" s="22">
        <v>7700000</v>
      </c>
      <c r="F140" s="33">
        <f>E152*0.95-1455000</f>
        <v>-1455000</v>
      </c>
      <c r="G140" s="30">
        <v>2</v>
      </c>
      <c r="H140" s="22">
        <v>7700000</v>
      </c>
      <c r="I140" s="22">
        <f>H152*0.95-1455000</f>
        <v>-1455000</v>
      </c>
    </row>
    <row r="141" spans="1:22">
      <c r="A141" s="27">
        <v>1</v>
      </c>
      <c r="B141" s="22">
        <v>8500000</v>
      </c>
      <c r="C141" s="33">
        <f>B152-1950000</f>
        <v>-1950000</v>
      </c>
      <c r="D141" s="30">
        <v>1</v>
      </c>
      <c r="E141" s="22">
        <v>10000000</v>
      </c>
      <c r="F141" s="33">
        <f>E152-1955000</f>
        <v>-1955000</v>
      </c>
      <c r="G141" s="30">
        <v>1</v>
      </c>
      <c r="H141" s="22">
        <v>10000000</v>
      </c>
      <c r="I141" s="22">
        <f>H152-1955000</f>
        <v>-1955000</v>
      </c>
    </row>
    <row r="142" spans="1:22">
      <c r="A142" s="27"/>
      <c r="B142" s="22"/>
      <c r="C142" s="33"/>
      <c r="D142" s="30"/>
      <c r="E142" s="22"/>
      <c r="F142" s="33"/>
      <c r="G142" s="30"/>
      <c r="H142" s="22"/>
      <c r="I142" s="22"/>
    </row>
    <row r="143" spans="1:22">
      <c r="A143" s="27"/>
      <c r="B143" s="22"/>
      <c r="C143" s="33"/>
      <c r="D143" s="30"/>
      <c r="E143" s="22"/>
      <c r="F143" s="33"/>
      <c r="G143" s="30"/>
      <c r="H143" s="22"/>
      <c r="I143" s="22"/>
    </row>
    <row r="144" spans="1:22">
      <c r="A144" s="27"/>
      <c r="B144" s="22"/>
      <c r="C144" s="33"/>
      <c r="D144" s="30"/>
      <c r="E144" s="22"/>
      <c r="F144" s="33"/>
      <c r="G144" s="30"/>
      <c r="H144" s="22"/>
      <c r="I144" s="22"/>
    </row>
    <row r="145" spans="1:22">
      <c r="A145" s="27"/>
      <c r="B145" s="22"/>
      <c r="C145" s="33"/>
      <c r="D145" s="30"/>
      <c r="E145" s="22"/>
      <c r="F145" s="33"/>
      <c r="G145" s="30"/>
      <c r="H145" s="22"/>
      <c r="I145" s="22"/>
    </row>
    <row r="146" spans="1:22">
      <c r="A146" s="27"/>
      <c r="B146" s="22"/>
      <c r="C146" s="33"/>
      <c r="D146" s="30"/>
      <c r="E146" s="22"/>
      <c r="F146" s="33"/>
      <c r="G146" s="30"/>
      <c r="H146" s="22"/>
      <c r="I146" s="22"/>
    </row>
    <row r="147" spans="1:22">
      <c r="A147" s="27"/>
      <c r="B147" s="27"/>
      <c r="C147" s="32"/>
      <c r="D147" s="30"/>
      <c r="E147" s="27"/>
      <c r="F147" s="32"/>
      <c r="G147" s="30"/>
      <c r="H147" s="27"/>
      <c r="I147" s="27"/>
    </row>
    <row r="148" spans="1:22">
      <c r="A148" s="27"/>
      <c r="B148" s="27"/>
      <c r="C148" s="32"/>
      <c r="D148" s="30"/>
      <c r="E148" s="27"/>
      <c r="F148" s="32"/>
      <c r="G148" s="30"/>
      <c r="H148" s="27"/>
      <c r="I148" s="27"/>
    </row>
    <row r="149" spans="1:22">
      <c r="A149" s="27"/>
      <c r="B149" s="27"/>
      <c r="C149" s="32"/>
      <c r="D149" s="30"/>
      <c r="E149" s="27"/>
      <c r="F149" s="32"/>
      <c r="G149" s="30"/>
      <c r="H149" s="27"/>
      <c r="I149" s="27"/>
    </row>
    <row r="150" spans="1:22">
      <c r="A150" s="27"/>
      <c r="B150" s="27"/>
      <c r="C150" s="32"/>
      <c r="D150" s="30"/>
      <c r="E150" s="27"/>
      <c r="F150" s="32"/>
      <c r="G150" s="30"/>
      <c r="H150" s="27"/>
      <c r="I150" s="27"/>
    </row>
    <row r="151" spans="1:22" s="14" customFormat="1">
      <c r="B151" s="14" t="s">
        <v>81</v>
      </c>
      <c r="C151" s="14" t="s">
        <v>82</v>
      </c>
      <c r="E151" s="14" t="s">
        <v>81</v>
      </c>
      <c r="F151" s="14" t="s">
        <v>82</v>
      </c>
      <c r="H151" s="14" t="s">
        <v>81</v>
      </c>
      <c r="I151" s="14" t="s">
        <v>82</v>
      </c>
      <c r="J151" s="14" t="s">
        <v>5</v>
      </c>
      <c r="K151" s="14" t="s">
        <v>83</v>
      </c>
      <c r="L151" s="14" t="s">
        <v>84</v>
      </c>
      <c r="M151" s="14" t="s">
        <v>159</v>
      </c>
      <c r="N151" s="14" t="s">
        <v>160</v>
      </c>
      <c r="O151" s="14" t="s">
        <v>8</v>
      </c>
      <c r="P151" s="14" t="s">
        <v>11</v>
      </c>
      <c r="Q151" s="14" t="s">
        <v>9</v>
      </c>
      <c r="R151" s="14" t="s">
        <v>38</v>
      </c>
      <c r="S151" s="14" t="s">
        <v>39</v>
      </c>
      <c r="T151" s="14" t="s">
        <v>161</v>
      </c>
      <c r="U151" s="154" t="s">
        <v>185</v>
      </c>
      <c r="V151" s="154" t="s">
        <v>176</v>
      </c>
    </row>
    <row r="152" spans="1:22">
      <c r="A152" s="3">
        <f>_xlfn.RANK.EQ(B152,B136:B152)</f>
        <v>6</v>
      </c>
      <c r="B152" s="4">
        <f>計算シート!F21</f>
        <v>0</v>
      </c>
      <c r="C152" s="4">
        <f>VLOOKUP(A152,A136:C150,3,FALSE)</f>
        <v>0</v>
      </c>
      <c r="D152" s="3">
        <f>_xlfn.RANK.EQ(E152,E136:E152)</f>
        <v>6</v>
      </c>
      <c r="E152" s="4">
        <f>計算シート!G21</f>
        <v>0</v>
      </c>
      <c r="F152" s="4">
        <f>VLOOKUP(D152,D136:F150,3,FALSE)</f>
        <v>0</v>
      </c>
      <c r="G152" s="3">
        <f>_xlfn.RANK.EQ(H152,H136:H152)</f>
        <v>6</v>
      </c>
      <c r="H152" s="4">
        <f>計算シート!G21</f>
        <v>0</v>
      </c>
      <c r="I152" s="4">
        <f>VLOOKUP(G152,G136:I150,3,FALSE)</f>
        <v>0</v>
      </c>
      <c r="J152" s="2">
        <f>IF(計算シート!E21&gt;=65,I152,F152)</f>
        <v>0</v>
      </c>
      <c r="K152" s="15">
        <f>IF(計算シート!E21&gt;=65,MAX(I152-150000,0),F152)</f>
        <v>0</v>
      </c>
      <c r="L152" s="5">
        <f>計算シート!H21</f>
        <v>0</v>
      </c>
      <c r="M152" s="5">
        <f>IF(AND(C152&gt;0,J152&gt;0),MIN(C152,100000)+MIN(J152,100000)-100000,0)</f>
        <v>0</v>
      </c>
      <c r="N152" s="5">
        <f>C152-M152</f>
        <v>0</v>
      </c>
      <c r="O152" s="5">
        <f>SUM(N152,J152,L152)*C134</f>
        <v>0</v>
      </c>
      <c r="P152" s="5">
        <f>MAX(O152-430000,0)</f>
        <v>0</v>
      </c>
      <c r="Q152" s="5">
        <f>MAX(SUM(N152,K152,L152,M152),0)</f>
        <v>0</v>
      </c>
      <c r="R152" s="15">
        <f>IF(AND(B134&gt;=40,B134&lt;65),C134,0)</f>
        <v>0</v>
      </c>
      <c r="S152" s="15">
        <f>P152*R152</f>
        <v>0</v>
      </c>
      <c r="T152" s="15">
        <f>IF(OR(C152&gt;0,J152&gt;0),1,0)</f>
        <v>0</v>
      </c>
      <c r="U152" s="15">
        <f>IF(B134&gt;=7,1,0)</f>
        <v>0</v>
      </c>
      <c r="V152" s="15">
        <f>IF(B134&gt;=18,1,0)</f>
        <v>0</v>
      </c>
    </row>
    <row r="153" spans="1:22" ht="14.25" thickBot="1">
      <c r="B153" s="8" t="s">
        <v>167</v>
      </c>
      <c r="C153" s="8" t="s">
        <v>103</v>
      </c>
    </row>
    <row r="154" spans="1:22" ht="14.25" thickBot="1">
      <c r="A154" s="7">
        <v>6</v>
      </c>
      <c r="B154" s="145">
        <f>計算シート!E22</f>
        <v>0</v>
      </c>
      <c r="C154" s="71">
        <f>IF($C$11+1-$C$54&gt;=6,1,0)</f>
        <v>0</v>
      </c>
      <c r="D154" s="352" t="s">
        <v>6</v>
      </c>
      <c r="E154" s="352"/>
      <c r="F154" s="353"/>
      <c r="G154" s="352" t="s">
        <v>7</v>
      </c>
      <c r="H154" s="352"/>
      <c r="I154" s="360"/>
    </row>
    <row r="155" spans="1:22">
      <c r="A155" s="1" t="s">
        <v>4</v>
      </c>
      <c r="B155" s="1" t="s">
        <v>1</v>
      </c>
      <c r="C155" s="75" t="s">
        <v>3</v>
      </c>
      <c r="D155" s="29" t="s">
        <v>4</v>
      </c>
      <c r="E155" s="1" t="s">
        <v>2</v>
      </c>
      <c r="F155" s="31" t="s">
        <v>5</v>
      </c>
      <c r="G155" s="29" t="s">
        <v>4</v>
      </c>
      <c r="H155" s="1" t="s">
        <v>2</v>
      </c>
      <c r="I155" s="1" t="s">
        <v>5</v>
      </c>
    </row>
    <row r="156" spans="1:22">
      <c r="A156" s="27">
        <v>6</v>
      </c>
      <c r="B156" s="22"/>
      <c r="C156" s="32">
        <v>0</v>
      </c>
      <c r="D156" s="30">
        <v>6</v>
      </c>
      <c r="E156" s="22"/>
      <c r="F156" s="32">
        <v>0</v>
      </c>
      <c r="G156" s="30">
        <v>6</v>
      </c>
      <c r="H156" s="22"/>
      <c r="I156" s="27">
        <v>0</v>
      </c>
    </row>
    <row r="157" spans="1:22">
      <c r="A157" s="27">
        <v>5</v>
      </c>
      <c r="B157" s="22">
        <v>650000</v>
      </c>
      <c r="C157" s="33">
        <f>B172-650000</f>
        <v>-650000</v>
      </c>
      <c r="D157" s="30">
        <v>5</v>
      </c>
      <c r="E157" s="22">
        <v>600000</v>
      </c>
      <c r="F157" s="33">
        <f>E172-600000</f>
        <v>-600000</v>
      </c>
      <c r="G157" s="30">
        <v>5</v>
      </c>
      <c r="H157" s="22">
        <v>1100000</v>
      </c>
      <c r="I157" s="22">
        <f>H172-1100000</f>
        <v>-1100000</v>
      </c>
    </row>
    <row r="158" spans="1:22">
      <c r="A158" s="27">
        <v>4</v>
      </c>
      <c r="B158" s="22">
        <v>1900000</v>
      </c>
      <c r="C158" s="33">
        <f>ROUNDDOWN(B172/4,-3)*2.8-80000</f>
        <v>-80000</v>
      </c>
      <c r="D158" s="30">
        <v>4</v>
      </c>
      <c r="E158" s="22">
        <v>1300000</v>
      </c>
      <c r="F158" s="33">
        <f>E172*0.75-275000</f>
        <v>-275000</v>
      </c>
      <c r="G158" s="30">
        <v>4</v>
      </c>
      <c r="H158" s="22">
        <v>3300000</v>
      </c>
      <c r="I158" s="22">
        <f>H172*0.75-275000</f>
        <v>-275000</v>
      </c>
    </row>
    <row r="159" spans="1:22">
      <c r="A159" s="27">
        <v>3</v>
      </c>
      <c r="B159" s="22">
        <v>3600000</v>
      </c>
      <c r="C159" s="33">
        <f>ROUNDDOWN(B172/4,-3)*3.2-440000</f>
        <v>-440000</v>
      </c>
      <c r="D159" s="30">
        <v>3</v>
      </c>
      <c r="E159" s="22">
        <v>4100000</v>
      </c>
      <c r="F159" s="33">
        <f>E172*0.85-685000</f>
        <v>-685000</v>
      </c>
      <c r="G159" s="30">
        <v>3</v>
      </c>
      <c r="H159" s="22">
        <v>4100000</v>
      </c>
      <c r="I159" s="22">
        <f>H172*0.85-685000</f>
        <v>-685000</v>
      </c>
    </row>
    <row r="160" spans="1:22">
      <c r="A160" s="27">
        <v>2</v>
      </c>
      <c r="B160" s="22">
        <v>6600000</v>
      </c>
      <c r="C160" s="33">
        <f>B172*0.9-1100000</f>
        <v>-1100000</v>
      </c>
      <c r="D160" s="30">
        <v>2</v>
      </c>
      <c r="E160" s="22">
        <v>7700000</v>
      </c>
      <c r="F160" s="33">
        <f>E172*0.95-1455000</f>
        <v>-1455000</v>
      </c>
      <c r="G160" s="30">
        <v>2</v>
      </c>
      <c r="H160" s="22">
        <v>7700000</v>
      </c>
      <c r="I160" s="22">
        <f>H172*0.95-1455000</f>
        <v>-1455000</v>
      </c>
    </row>
    <row r="161" spans="1:22">
      <c r="A161" s="27">
        <v>1</v>
      </c>
      <c r="B161" s="22">
        <v>8500000</v>
      </c>
      <c r="C161" s="33">
        <f>B172-1950000</f>
        <v>-1950000</v>
      </c>
      <c r="D161" s="30">
        <v>1</v>
      </c>
      <c r="E161" s="22">
        <v>10000000</v>
      </c>
      <c r="F161" s="33">
        <f>E172-1955000</f>
        <v>-1955000</v>
      </c>
      <c r="G161" s="30">
        <v>1</v>
      </c>
      <c r="H161" s="22">
        <v>10000000</v>
      </c>
      <c r="I161" s="22">
        <f>H172-1955000</f>
        <v>-1955000</v>
      </c>
    </row>
    <row r="162" spans="1:22">
      <c r="A162" s="27"/>
      <c r="B162" s="22"/>
      <c r="C162" s="33"/>
      <c r="D162" s="30"/>
      <c r="E162" s="22"/>
      <c r="F162" s="33"/>
      <c r="G162" s="30"/>
      <c r="H162" s="22"/>
      <c r="I162" s="22"/>
    </row>
    <row r="163" spans="1:22">
      <c r="A163" s="27"/>
      <c r="B163" s="22"/>
      <c r="C163" s="33"/>
      <c r="D163" s="30"/>
      <c r="E163" s="22"/>
      <c r="F163" s="33"/>
      <c r="G163" s="30"/>
      <c r="H163" s="22"/>
      <c r="I163" s="22"/>
    </row>
    <row r="164" spans="1:22">
      <c r="A164" s="27"/>
      <c r="B164" s="22"/>
      <c r="C164" s="33"/>
      <c r="D164" s="30"/>
      <c r="E164" s="22"/>
      <c r="F164" s="33"/>
      <c r="G164" s="30"/>
      <c r="H164" s="22"/>
      <c r="I164" s="22"/>
    </row>
    <row r="165" spans="1:22">
      <c r="A165" s="27"/>
      <c r="B165" s="22"/>
      <c r="C165" s="33"/>
      <c r="D165" s="30"/>
      <c r="E165" s="22"/>
      <c r="F165" s="33"/>
      <c r="G165" s="30"/>
      <c r="H165" s="22"/>
      <c r="I165" s="22"/>
    </row>
    <row r="166" spans="1:22">
      <c r="A166" s="27"/>
      <c r="B166" s="22"/>
      <c r="C166" s="33"/>
      <c r="D166" s="30"/>
      <c r="E166" s="22"/>
      <c r="F166" s="33"/>
      <c r="G166" s="30"/>
      <c r="H166" s="22"/>
      <c r="I166" s="22"/>
    </row>
    <row r="167" spans="1:22">
      <c r="A167" s="27"/>
      <c r="B167" s="27"/>
      <c r="C167" s="32"/>
      <c r="D167" s="30"/>
      <c r="E167" s="27"/>
      <c r="F167" s="32"/>
      <c r="G167" s="30"/>
      <c r="H167" s="27"/>
      <c r="I167" s="27"/>
    </row>
    <row r="168" spans="1:22">
      <c r="A168" s="27"/>
      <c r="B168" s="27"/>
      <c r="C168" s="32"/>
      <c r="D168" s="30"/>
      <c r="E168" s="27"/>
      <c r="F168" s="32"/>
      <c r="G168" s="30"/>
      <c r="H168" s="27"/>
      <c r="I168" s="27"/>
    </row>
    <row r="169" spans="1:22">
      <c r="A169" s="27"/>
      <c r="B169" s="27"/>
      <c r="C169" s="32"/>
      <c r="D169" s="30"/>
      <c r="E169" s="27"/>
      <c r="F169" s="32"/>
      <c r="G169" s="30"/>
      <c r="H169" s="27"/>
      <c r="I169" s="27"/>
    </row>
    <row r="170" spans="1:22">
      <c r="A170" s="27"/>
      <c r="B170" s="27"/>
      <c r="C170" s="32"/>
      <c r="D170" s="30"/>
      <c r="E170" s="27"/>
      <c r="F170" s="32"/>
      <c r="G170" s="30"/>
      <c r="H170" s="27"/>
      <c r="I170" s="27"/>
    </row>
    <row r="171" spans="1:22" s="14" customFormat="1">
      <c r="B171" s="14" t="s">
        <v>81</v>
      </c>
      <c r="C171" s="14" t="s">
        <v>82</v>
      </c>
      <c r="E171" s="14" t="s">
        <v>81</v>
      </c>
      <c r="F171" s="14" t="s">
        <v>82</v>
      </c>
      <c r="H171" s="14" t="s">
        <v>81</v>
      </c>
      <c r="I171" s="14" t="s">
        <v>82</v>
      </c>
      <c r="J171" s="14" t="s">
        <v>5</v>
      </c>
      <c r="K171" s="14" t="s">
        <v>83</v>
      </c>
      <c r="L171" s="14" t="s">
        <v>84</v>
      </c>
      <c r="M171" s="14" t="s">
        <v>159</v>
      </c>
      <c r="N171" s="14" t="s">
        <v>160</v>
      </c>
      <c r="O171" s="14" t="s">
        <v>8</v>
      </c>
      <c r="P171" s="14" t="s">
        <v>11</v>
      </c>
      <c r="Q171" s="14" t="s">
        <v>9</v>
      </c>
      <c r="R171" s="14" t="s">
        <v>38</v>
      </c>
      <c r="S171" s="14" t="s">
        <v>39</v>
      </c>
      <c r="T171" s="14" t="s">
        <v>161</v>
      </c>
      <c r="U171" s="154" t="s">
        <v>185</v>
      </c>
      <c r="V171" s="154" t="s">
        <v>176</v>
      </c>
    </row>
    <row r="172" spans="1:22">
      <c r="A172" s="3">
        <f>_xlfn.RANK.EQ(B172,B156:B172)</f>
        <v>6</v>
      </c>
      <c r="B172" s="4">
        <f>計算シート!F22</f>
        <v>0</v>
      </c>
      <c r="C172" s="4">
        <f>VLOOKUP(A172,A156:C170,3,FALSE)</f>
        <v>0</v>
      </c>
      <c r="D172" s="3">
        <f>_xlfn.RANK.EQ(E172,E156:E172)</f>
        <v>6</v>
      </c>
      <c r="E172" s="4">
        <f>計算シート!G22</f>
        <v>0</v>
      </c>
      <c r="F172" s="4">
        <f>VLOOKUP(D172,D156:F170,3,FALSE)</f>
        <v>0</v>
      </c>
      <c r="G172" s="3">
        <f>_xlfn.RANK.EQ(H172,H156:H172)</f>
        <v>6</v>
      </c>
      <c r="H172" s="4">
        <f>計算シート!G22</f>
        <v>0</v>
      </c>
      <c r="I172" s="4">
        <f>VLOOKUP(G172,G156:I170,3,FALSE)</f>
        <v>0</v>
      </c>
      <c r="J172" s="2">
        <f>IF(計算シート!E22&gt;=65,I172,F172)</f>
        <v>0</v>
      </c>
      <c r="K172" s="15">
        <f>IF(計算シート!E22&gt;=65,MAX(I172-150000,0),F172)</f>
        <v>0</v>
      </c>
      <c r="L172" s="5">
        <f>計算シート!H22</f>
        <v>0</v>
      </c>
      <c r="M172" s="5">
        <f>IF(AND(C172&gt;0,J172&gt;0),MIN(C172,100000)+MIN(J172,100000)-100000,0)</f>
        <v>0</v>
      </c>
      <c r="N172" s="5">
        <f>C172-M172</f>
        <v>0</v>
      </c>
      <c r="O172" s="5">
        <f>SUM(N172,J172,L172)*C154</f>
        <v>0</v>
      </c>
      <c r="P172" s="5">
        <f>MAX(O172-430000,0)</f>
        <v>0</v>
      </c>
      <c r="Q172" s="5">
        <f>MAX(SUM(N172,K172,L172,M172),0)</f>
        <v>0</v>
      </c>
      <c r="R172" s="15">
        <f>IF(AND(B154&gt;=40,B154&lt;65),C154,0)</f>
        <v>0</v>
      </c>
      <c r="S172" s="15">
        <f>P172*R172</f>
        <v>0</v>
      </c>
      <c r="T172" s="15">
        <f>IF(OR(C172&gt;0,J172&gt;0),1,0)</f>
        <v>0</v>
      </c>
      <c r="U172" s="15">
        <f>IF(B154&gt;=7,1,0)</f>
        <v>0</v>
      </c>
      <c r="V172" s="15">
        <f>IF(B154&gt;=18,1,0)</f>
        <v>0</v>
      </c>
    </row>
    <row r="173" spans="1:22" ht="14.25" thickBot="1">
      <c r="B173" s="8" t="s">
        <v>167</v>
      </c>
      <c r="C173" s="8" t="s">
        <v>103</v>
      </c>
    </row>
    <row r="174" spans="1:22" ht="14.25" thickBot="1">
      <c r="A174" s="7">
        <v>7</v>
      </c>
      <c r="B174" s="145">
        <f>計算シート!E23</f>
        <v>0</v>
      </c>
      <c r="C174" s="71">
        <f>IF($C$11+1-$C$54&gt;=7,1,0)</f>
        <v>0</v>
      </c>
      <c r="D174" s="352" t="s">
        <v>6</v>
      </c>
      <c r="E174" s="352"/>
      <c r="F174" s="353"/>
      <c r="G174" s="352" t="s">
        <v>7</v>
      </c>
      <c r="H174" s="352"/>
      <c r="I174" s="360"/>
    </row>
    <row r="175" spans="1:22">
      <c r="A175" s="1" t="s">
        <v>4</v>
      </c>
      <c r="B175" s="1" t="s">
        <v>1</v>
      </c>
      <c r="C175" s="75" t="s">
        <v>3</v>
      </c>
      <c r="D175" s="29" t="s">
        <v>4</v>
      </c>
      <c r="E175" s="1" t="s">
        <v>2</v>
      </c>
      <c r="F175" s="31" t="s">
        <v>5</v>
      </c>
      <c r="G175" s="29" t="s">
        <v>4</v>
      </c>
      <c r="H175" s="1" t="s">
        <v>2</v>
      </c>
      <c r="I175" s="1" t="s">
        <v>5</v>
      </c>
    </row>
    <row r="176" spans="1:22">
      <c r="A176" s="27">
        <v>6</v>
      </c>
      <c r="B176" s="22"/>
      <c r="C176" s="32">
        <v>0</v>
      </c>
      <c r="D176" s="30">
        <v>6</v>
      </c>
      <c r="E176" s="22"/>
      <c r="F176" s="32">
        <v>0</v>
      </c>
      <c r="G176" s="30">
        <v>6</v>
      </c>
      <c r="H176" s="22"/>
      <c r="I176" s="27">
        <v>0</v>
      </c>
    </row>
    <row r="177" spans="1:22">
      <c r="A177" s="27">
        <v>5</v>
      </c>
      <c r="B177" s="22">
        <v>650000</v>
      </c>
      <c r="C177" s="33">
        <f>B192-650000</f>
        <v>-650000</v>
      </c>
      <c r="D177" s="30">
        <v>5</v>
      </c>
      <c r="E177" s="22">
        <v>600000</v>
      </c>
      <c r="F177" s="33">
        <f>E192-600000</f>
        <v>-600000</v>
      </c>
      <c r="G177" s="30">
        <v>5</v>
      </c>
      <c r="H177" s="22">
        <v>1100000</v>
      </c>
      <c r="I177" s="22">
        <f>H192-1100000</f>
        <v>-1100000</v>
      </c>
    </row>
    <row r="178" spans="1:22">
      <c r="A178" s="27">
        <v>4</v>
      </c>
      <c r="B178" s="22">
        <v>1900000</v>
      </c>
      <c r="C178" s="33">
        <f>ROUNDDOWN(B192/4,-3)*2.8-80000</f>
        <v>-80000</v>
      </c>
      <c r="D178" s="30">
        <v>4</v>
      </c>
      <c r="E178" s="22">
        <v>1300000</v>
      </c>
      <c r="F178" s="33">
        <f>E192*0.75-275000</f>
        <v>-275000</v>
      </c>
      <c r="G178" s="30">
        <v>4</v>
      </c>
      <c r="H178" s="22">
        <v>3300000</v>
      </c>
      <c r="I178" s="22">
        <f>H192*0.75-275000</f>
        <v>-275000</v>
      </c>
    </row>
    <row r="179" spans="1:22">
      <c r="A179" s="27">
        <v>3</v>
      </c>
      <c r="B179" s="22">
        <v>3600000</v>
      </c>
      <c r="C179" s="33">
        <f>ROUNDDOWN(B192/4,-3)*3.2-440000</f>
        <v>-440000</v>
      </c>
      <c r="D179" s="30">
        <v>3</v>
      </c>
      <c r="E179" s="22">
        <v>4100000</v>
      </c>
      <c r="F179" s="33">
        <f>E192*0.85-685000</f>
        <v>-685000</v>
      </c>
      <c r="G179" s="30">
        <v>3</v>
      </c>
      <c r="H179" s="22">
        <v>4100000</v>
      </c>
      <c r="I179" s="22">
        <f>H192*0.85-685000</f>
        <v>-685000</v>
      </c>
    </row>
    <row r="180" spans="1:22">
      <c r="A180" s="27">
        <v>2</v>
      </c>
      <c r="B180" s="22">
        <v>6600000</v>
      </c>
      <c r="C180" s="33">
        <f>B192*0.9-1100000</f>
        <v>-1100000</v>
      </c>
      <c r="D180" s="30">
        <v>2</v>
      </c>
      <c r="E180" s="22">
        <v>7700000</v>
      </c>
      <c r="F180" s="33">
        <f>E192*0.95-1455000</f>
        <v>-1455000</v>
      </c>
      <c r="G180" s="30">
        <v>2</v>
      </c>
      <c r="H180" s="22">
        <v>7700000</v>
      </c>
      <c r="I180" s="22">
        <f>H192*0.95-1455000</f>
        <v>-1455000</v>
      </c>
    </row>
    <row r="181" spans="1:22">
      <c r="A181" s="27">
        <v>1</v>
      </c>
      <c r="B181" s="22">
        <v>8500000</v>
      </c>
      <c r="C181" s="33">
        <f>B192-1950000</f>
        <v>-1950000</v>
      </c>
      <c r="D181" s="30">
        <v>1</v>
      </c>
      <c r="E181" s="22">
        <v>10000000</v>
      </c>
      <c r="F181" s="33">
        <f>E192-1955000</f>
        <v>-1955000</v>
      </c>
      <c r="G181" s="30">
        <v>1</v>
      </c>
      <c r="H181" s="22">
        <v>10000000</v>
      </c>
      <c r="I181" s="22">
        <f>H192-1955000</f>
        <v>-1955000</v>
      </c>
    </row>
    <row r="182" spans="1:22">
      <c r="A182" s="27"/>
      <c r="B182" s="22"/>
      <c r="C182" s="33"/>
      <c r="D182" s="30"/>
      <c r="E182" s="22"/>
      <c r="F182" s="33"/>
      <c r="G182" s="30"/>
      <c r="H182" s="22"/>
      <c r="I182" s="22"/>
    </row>
    <row r="183" spans="1:22">
      <c r="A183" s="27"/>
      <c r="B183" s="22"/>
      <c r="C183" s="33"/>
      <c r="D183" s="30"/>
      <c r="E183" s="22"/>
      <c r="F183" s="33"/>
      <c r="G183" s="30"/>
      <c r="H183" s="22"/>
      <c r="I183" s="22"/>
    </row>
    <row r="184" spans="1:22">
      <c r="A184" s="27"/>
      <c r="B184" s="22"/>
      <c r="C184" s="33"/>
      <c r="D184" s="30"/>
      <c r="E184" s="22"/>
      <c r="F184" s="33"/>
      <c r="G184" s="30"/>
      <c r="H184" s="22"/>
      <c r="I184" s="22"/>
    </row>
    <row r="185" spans="1:22">
      <c r="A185" s="27"/>
      <c r="B185" s="22"/>
      <c r="C185" s="33"/>
      <c r="D185" s="30"/>
      <c r="E185" s="22"/>
      <c r="F185" s="33"/>
      <c r="G185" s="30"/>
      <c r="H185" s="22"/>
      <c r="I185" s="22"/>
    </row>
    <row r="186" spans="1:22">
      <c r="A186" s="27"/>
      <c r="B186" s="22"/>
      <c r="C186" s="33"/>
      <c r="D186" s="30"/>
      <c r="E186" s="22"/>
      <c r="F186" s="33"/>
      <c r="G186" s="30"/>
      <c r="H186" s="22"/>
      <c r="I186" s="22"/>
    </row>
    <row r="187" spans="1:22">
      <c r="A187" s="27"/>
      <c r="B187" s="27"/>
      <c r="C187" s="32"/>
      <c r="D187" s="30"/>
      <c r="E187" s="27"/>
      <c r="F187" s="32"/>
      <c r="G187" s="30"/>
      <c r="H187" s="27"/>
      <c r="I187" s="27"/>
    </row>
    <row r="188" spans="1:22">
      <c r="A188" s="27"/>
      <c r="B188" s="27"/>
      <c r="C188" s="32"/>
      <c r="D188" s="30"/>
      <c r="E188" s="27"/>
      <c r="F188" s="32"/>
      <c r="G188" s="30"/>
      <c r="H188" s="27"/>
      <c r="I188" s="27"/>
    </row>
    <row r="189" spans="1:22">
      <c r="A189" s="27"/>
      <c r="B189" s="27"/>
      <c r="C189" s="32"/>
      <c r="D189" s="30"/>
      <c r="E189" s="27"/>
      <c r="F189" s="32"/>
      <c r="G189" s="30"/>
      <c r="H189" s="27"/>
      <c r="I189" s="27"/>
    </row>
    <row r="190" spans="1:22">
      <c r="A190" s="27"/>
      <c r="B190" s="27"/>
      <c r="C190" s="32"/>
      <c r="D190" s="30"/>
      <c r="E190" s="27"/>
      <c r="F190" s="32"/>
      <c r="G190" s="30"/>
      <c r="H190" s="27"/>
      <c r="I190" s="27"/>
    </row>
    <row r="191" spans="1:22" s="14" customFormat="1">
      <c r="B191" s="14" t="s">
        <v>81</v>
      </c>
      <c r="C191" s="14" t="s">
        <v>82</v>
      </c>
      <c r="E191" s="14" t="s">
        <v>81</v>
      </c>
      <c r="F191" s="14" t="s">
        <v>82</v>
      </c>
      <c r="H191" s="14" t="s">
        <v>81</v>
      </c>
      <c r="I191" s="14" t="s">
        <v>82</v>
      </c>
      <c r="J191" s="14" t="s">
        <v>5</v>
      </c>
      <c r="K191" s="14" t="s">
        <v>83</v>
      </c>
      <c r="L191" s="14" t="s">
        <v>84</v>
      </c>
      <c r="M191" s="14" t="s">
        <v>159</v>
      </c>
      <c r="N191" s="14" t="s">
        <v>160</v>
      </c>
      <c r="O191" s="14" t="s">
        <v>8</v>
      </c>
      <c r="P191" s="14" t="s">
        <v>11</v>
      </c>
      <c r="Q191" s="14" t="s">
        <v>9</v>
      </c>
      <c r="R191" s="14" t="s">
        <v>38</v>
      </c>
      <c r="S191" s="14" t="s">
        <v>39</v>
      </c>
      <c r="T191" s="14" t="s">
        <v>161</v>
      </c>
      <c r="U191" s="154" t="s">
        <v>185</v>
      </c>
      <c r="V191" s="154" t="s">
        <v>176</v>
      </c>
    </row>
    <row r="192" spans="1:22">
      <c r="A192" s="3">
        <f>_xlfn.RANK.EQ(B192,B176:B192)</f>
        <v>6</v>
      </c>
      <c r="B192" s="4">
        <f>計算シート!F23</f>
        <v>0</v>
      </c>
      <c r="C192" s="4">
        <f>VLOOKUP(A192,A176:C190,3,FALSE)</f>
        <v>0</v>
      </c>
      <c r="D192" s="3">
        <f>_xlfn.RANK.EQ(E192,E176:E192)</f>
        <v>6</v>
      </c>
      <c r="E192" s="4">
        <f>計算シート!G23</f>
        <v>0</v>
      </c>
      <c r="F192" s="4">
        <f>VLOOKUP(D192,D176:F190,3,FALSE)</f>
        <v>0</v>
      </c>
      <c r="G192" s="3">
        <f>_xlfn.RANK.EQ(H192,H176:H192)</f>
        <v>6</v>
      </c>
      <c r="H192" s="4">
        <f>計算シート!G23</f>
        <v>0</v>
      </c>
      <c r="I192" s="4">
        <f>VLOOKUP(G192,G176:I190,3,FALSE)</f>
        <v>0</v>
      </c>
      <c r="J192" s="2">
        <f>IF(計算シート!E23&gt;=65,I192,F192)</f>
        <v>0</v>
      </c>
      <c r="K192" s="15">
        <f>IF(計算シート!E23&gt;=65,MAX(I192-150000,0),F192)</f>
        <v>0</v>
      </c>
      <c r="L192" s="5">
        <f>計算シート!H23</f>
        <v>0</v>
      </c>
      <c r="M192" s="5">
        <f>IF(AND(C192&gt;0,J192&gt;0),MIN(C192,100000)+MIN(J192,100000)-100000,0)</f>
        <v>0</v>
      </c>
      <c r="N192" s="5">
        <f>C192-M192</f>
        <v>0</v>
      </c>
      <c r="O192" s="5">
        <f>SUM(N192,J192,L192)*C174</f>
        <v>0</v>
      </c>
      <c r="P192" s="5">
        <f>MAX(O192-430000,0)</f>
        <v>0</v>
      </c>
      <c r="Q192" s="5">
        <f>MAX(SUM(N192,K192,L192,M192),0)</f>
        <v>0</v>
      </c>
      <c r="R192" s="15">
        <f>IF(AND(B174&gt;=40,B174&lt;65),C174,0)</f>
        <v>0</v>
      </c>
      <c r="S192" s="15">
        <f>P192*R192</f>
        <v>0</v>
      </c>
      <c r="T192" s="15">
        <f>IF(OR(C192&gt;0,J192&gt;0),1,0)</f>
        <v>0</v>
      </c>
      <c r="U192" s="15">
        <f>IF(B174&gt;=7,1,0)</f>
        <v>0</v>
      </c>
      <c r="V192" s="15">
        <f>IF(B174&gt;=18,1,0)</f>
        <v>0</v>
      </c>
    </row>
    <row r="193" spans="1:9" ht="14.25" thickBot="1">
      <c r="B193" s="8" t="s">
        <v>167</v>
      </c>
      <c r="C193" s="8" t="s">
        <v>103</v>
      </c>
    </row>
    <row r="194" spans="1:9" ht="14.25" thickBot="1">
      <c r="A194" s="7">
        <v>8</v>
      </c>
      <c r="B194" s="145">
        <f>計算シート!E24</f>
        <v>0</v>
      </c>
      <c r="C194" s="71">
        <f>IF($C$11+1-$C$54&gt;=8,1,0)</f>
        <v>0</v>
      </c>
      <c r="D194" s="352" t="s">
        <v>6</v>
      </c>
      <c r="E194" s="352"/>
      <c r="F194" s="353"/>
      <c r="G194" s="352" t="s">
        <v>7</v>
      </c>
      <c r="H194" s="352"/>
      <c r="I194" s="360"/>
    </row>
    <row r="195" spans="1:9">
      <c r="A195" s="1" t="s">
        <v>4</v>
      </c>
      <c r="B195" s="1" t="s">
        <v>1</v>
      </c>
      <c r="C195" s="75" t="s">
        <v>3</v>
      </c>
      <c r="D195" s="29" t="s">
        <v>4</v>
      </c>
      <c r="E195" s="1" t="s">
        <v>2</v>
      </c>
      <c r="F195" s="31" t="s">
        <v>5</v>
      </c>
      <c r="G195" s="29" t="s">
        <v>4</v>
      </c>
      <c r="H195" s="1" t="s">
        <v>2</v>
      </c>
      <c r="I195" s="1" t="s">
        <v>5</v>
      </c>
    </row>
    <row r="196" spans="1:9">
      <c r="A196" s="27">
        <v>6</v>
      </c>
      <c r="B196" s="22"/>
      <c r="C196" s="32">
        <v>0</v>
      </c>
      <c r="D196" s="30">
        <v>6</v>
      </c>
      <c r="E196" s="22"/>
      <c r="F196" s="32">
        <v>0</v>
      </c>
      <c r="G196" s="30">
        <v>6</v>
      </c>
      <c r="H196" s="22"/>
      <c r="I196" s="27">
        <v>0</v>
      </c>
    </row>
    <row r="197" spans="1:9">
      <c r="A197" s="27">
        <v>5</v>
      </c>
      <c r="B197" s="22">
        <v>650000</v>
      </c>
      <c r="C197" s="33">
        <f>B212-650000</f>
        <v>-650000</v>
      </c>
      <c r="D197" s="30">
        <v>5</v>
      </c>
      <c r="E197" s="22">
        <v>600000</v>
      </c>
      <c r="F197" s="33">
        <f>E212-600000</f>
        <v>-600000</v>
      </c>
      <c r="G197" s="30">
        <v>5</v>
      </c>
      <c r="H197" s="22">
        <v>1100000</v>
      </c>
      <c r="I197" s="22">
        <f>H212-1100000</f>
        <v>-1100000</v>
      </c>
    </row>
    <row r="198" spans="1:9">
      <c r="A198" s="27">
        <v>4</v>
      </c>
      <c r="B198" s="22">
        <v>1900000</v>
      </c>
      <c r="C198" s="33">
        <f>ROUNDDOWN(B212/4,-3)*2.8-80000</f>
        <v>-80000</v>
      </c>
      <c r="D198" s="30">
        <v>4</v>
      </c>
      <c r="E198" s="22">
        <v>1300000</v>
      </c>
      <c r="F198" s="33">
        <f>E212*0.75-275000</f>
        <v>-275000</v>
      </c>
      <c r="G198" s="30">
        <v>4</v>
      </c>
      <c r="H198" s="22">
        <v>3300000</v>
      </c>
      <c r="I198" s="22">
        <f>H212*0.75-275000</f>
        <v>-275000</v>
      </c>
    </row>
    <row r="199" spans="1:9">
      <c r="A199" s="27">
        <v>3</v>
      </c>
      <c r="B199" s="22">
        <v>3600000</v>
      </c>
      <c r="C199" s="33">
        <f>ROUNDDOWN(B212/4,-3)*3.2-440000</f>
        <v>-440000</v>
      </c>
      <c r="D199" s="30">
        <v>3</v>
      </c>
      <c r="E199" s="22">
        <v>4100000</v>
      </c>
      <c r="F199" s="33">
        <f>E212*0.85-685000</f>
        <v>-685000</v>
      </c>
      <c r="G199" s="30">
        <v>3</v>
      </c>
      <c r="H199" s="22">
        <v>4100000</v>
      </c>
      <c r="I199" s="22">
        <f>H212*0.85-685000</f>
        <v>-685000</v>
      </c>
    </row>
    <row r="200" spans="1:9">
      <c r="A200" s="27">
        <v>2</v>
      </c>
      <c r="B200" s="22">
        <v>6600000</v>
      </c>
      <c r="C200" s="33">
        <f>B212*0.9-1100000</f>
        <v>-1100000</v>
      </c>
      <c r="D200" s="30">
        <v>2</v>
      </c>
      <c r="E200" s="22">
        <v>7700000</v>
      </c>
      <c r="F200" s="33">
        <f>E212*0.95-1455000</f>
        <v>-1455000</v>
      </c>
      <c r="G200" s="30">
        <v>2</v>
      </c>
      <c r="H200" s="22">
        <v>7700000</v>
      </c>
      <c r="I200" s="22">
        <f>H212*0.95-1455000</f>
        <v>-1455000</v>
      </c>
    </row>
    <row r="201" spans="1:9">
      <c r="A201" s="27">
        <v>1</v>
      </c>
      <c r="B201" s="22">
        <v>8500000</v>
      </c>
      <c r="C201" s="33">
        <f>B212-1950000</f>
        <v>-1950000</v>
      </c>
      <c r="D201" s="30">
        <v>1</v>
      </c>
      <c r="E201" s="22">
        <v>10000000</v>
      </c>
      <c r="F201" s="33">
        <f>E212-1955000</f>
        <v>-1955000</v>
      </c>
      <c r="G201" s="30">
        <v>1</v>
      </c>
      <c r="H201" s="22">
        <v>10000000</v>
      </c>
      <c r="I201" s="22">
        <f>H212-1955000</f>
        <v>-1955000</v>
      </c>
    </row>
    <row r="202" spans="1:9">
      <c r="A202" s="27"/>
      <c r="B202" s="22"/>
      <c r="C202" s="33"/>
      <c r="D202" s="30"/>
      <c r="E202" s="22"/>
      <c r="F202" s="33"/>
      <c r="G202" s="30"/>
      <c r="H202" s="22"/>
      <c r="I202" s="22"/>
    </row>
    <row r="203" spans="1:9">
      <c r="A203" s="27"/>
      <c r="B203" s="22"/>
      <c r="C203" s="33"/>
      <c r="D203" s="30"/>
      <c r="E203" s="22"/>
      <c r="F203" s="33"/>
      <c r="G203" s="30"/>
      <c r="H203" s="22"/>
      <c r="I203" s="22"/>
    </row>
    <row r="204" spans="1:9">
      <c r="A204" s="27"/>
      <c r="B204" s="22"/>
      <c r="C204" s="33"/>
      <c r="D204" s="30"/>
      <c r="E204" s="22"/>
      <c r="F204" s="33"/>
      <c r="G204" s="30"/>
      <c r="H204" s="22"/>
      <c r="I204" s="22"/>
    </row>
    <row r="205" spans="1:9">
      <c r="A205" s="27"/>
      <c r="B205" s="22"/>
      <c r="C205" s="33"/>
      <c r="D205" s="30"/>
      <c r="E205" s="22"/>
      <c r="F205" s="33"/>
      <c r="G205" s="30"/>
      <c r="H205" s="22"/>
      <c r="I205" s="22"/>
    </row>
    <row r="206" spans="1:9">
      <c r="A206" s="27"/>
      <c r="B206" s="22"/>
      <c r="C206" s="33"/>
      <c r="D206" s="30"/>
      <c r="E206" s="22"/>
      <c r="F206" s="33"/>
      <c r="G206" s="30"/>
      <c r="H206" s="22"/>
      <c r="I206" s="22"/>
    </row>
    <row r="207" spans="1:9">
      <c r="A207" s="27"/>
      <c r="B207" s="27"/>
      <c r="C207" s="32"/>
      <c r="D207" s="30"/>
      <c r="E207" s="27"/>
      <c r="F207" s="32"/>
      <c r="G207" s="30"/>
      <c r="H207" s="27"/>
      <c r="I207" s="27"/>
    </row>
    <row r="208" spans="1:9">
      <c r="A208" s="27"/>
      <c r="B208" s="27"/>
      <c r="C208" s="32"/>
      <c r="D208" s="30"/>
      <c r="E208" s="27"/>
      <c r="F208" s="32"/>
      <c r="G208" s="30"/>
      <c r="H208" s="27"/>
      <c r="I208" s="27"/>
    </row>
    <row r="209" spans="1:22">
      <c r="A209" s="27"/>
      <c r="B209" s="27"/>
      <c r="C209" s="32"/>
      <c r="D209" s="30"/>
      <c r="E209" s="27"/>
      <c r="F209" s="32"/>
      <c r="G209" s="30"/>
      <c r="H209" s="27"/>
      <c r="I209" s="27"/>
    </row>
    <row r="210" spans="1:22">
      <c r="A210" s="27"/>
      <c r="B210" s="27"/>
      <c r="C210" s="32"/>
      <c r="D210" s="30"/>
      <c r="E210" s="27"/>
      <c r="F210" s="32"/>
      <c r="G210" s="30"/>
      <c r="H210" s="27"/>
      <c r="I210" s="27"/>
    </row>
    <row r="211" spans="1:22" s="14" customFormat="1">
      <c r="B211" s="14" t="s">
        <v>81</v>
      </c>
      <c r="C211" s="14" t="s">
        <v>82</v>
      </c>
      <c r="E211" s="14" t="s">
        <v>81</v>
      </c>
      <c r="F211" s="14" t="s">
        <v>82</v>
      </c>
      <c r="H211" s="14" t="s">
        <v>81</v>
      </c>
      <c r="I211" s="14" t="s">
        <v>82</v>
      </c>
      <c r="J211" s="14" t="s">
        <v>5</v>
      </c>
      <c r="K211" s="14" t="s">
        <v>83</v>
      </c>
      <c r="L211" s="14" t="s">
        <v>84</v>
      </c>
      <c r="M211" s="14" t="s">
        <v>159</v>
      </c>
      <c r="N211" s="14" t="s">
        <v>160</v>
      </c>
      <c r="O211" s="14" t="s">
        <v>8</v>
      </c>
      <c r="P211" s="14" t="s">
        <v>11</v>
      </c>
      <c r="Q211" s="14" t="s">
        <v>9</v>
      </c>
      <c r="R211" s="14" t="s">
        <v>38</v>
      </c>
      <c r="S211" s="14" t="s">
        <v>39</v>
      </c>
      <c r="T211" s="14" t="s">
        <v>161</v>
      </c>
      <c r="U211" s="154" t="s">
        <v>185</v>
      </c>
      <c r="V211" s="154" t="s">
        <v>176</v>
      </c>
    </row>
    <row r="212" spans="1:22">
      <c r="A212" s="3">
        <f>_xlfn.RANK.EQ(B212,B196:B212)</f>
        <v>6</v>
      </c>
      <c r="B212" s="4">
        <f>計算シート!F24</f>
        <v>0</v>
      </c>
      <c r="C212" s="4">
        <f>VLOOKUP(A212,A196:C210,3,FALSE)</f>
        <v>0</v>
      </c>
      <c r="D212" s="3">
        <f>_xlfn.RANK.EQ(E212,E196:E212)</f>
        <v>6</v>
      </c>
      <c r="E212" s="4">
        <f>計算シート!G24</f>
        <v>0</v>
      </c>
      <c r="F212" s="4">
        <f>VLOOKUP(D212,D196:F210,3,FALSE)</f>
        <v>0</v>
      </c>
      <c r="G212" s="3">
        <f>_xlfn.RANK.EQ(H212,H196:H212)</f>
        <v>6</v>
      </c>
      <c r="H212" s="4">
        <f>計算シート!G24</f>
        <v>0</v>
      </c>
      <c r="I212" s="4">
        <f>VLOOKUP(G212,G196:I210,3,FALSE)</f>
        <v>0</v>
      </c>
      <c r="J212" s="2">
        <f>IF(計算シート!E24&gt;=65,I212,F212)</f>
        <v>0</v>
      </c>
      <c r="K212" s="15">
        <f>IF(計算シート!E24&gt;=65,MAX(I212-150000,0),F212)</f>
        <v>0</v>
      </c>
      <c r="L212" s="5">
        <f>計算シート!H24</f>
        <v>0</v>
      </c>
      <c r="M212" s="5">
        <f>IF(AND(C212&gt;0,J212&gt;0),MIN(C212,100000)+MIN(J212,100000)-100000,0)</f>
        <v>0</v>
      </c>
      <c r="N212" s="5">
        <f>C212-M212</f>
        <v>0</v>
      </c>
      <c r="O212" s="5">
        <f>SUM(N212,J212,L212)*C194</f>
        <v>0</v>
      </c>
      <c r="P212" s="5">
        <f>MAX(O212-430000,0)</f>
        <v>0</v>
      </c>
      <c r="Q212" s="5">
        <f>MAX(SUM(N212,K212,L212,M212),0)</f>
        <v>0</v>
      </c>
      <c r="R212" s="15">
        <f>IF(AND(B194&gt;=40,B194&lt;65),C194,0)</f>
        <v>0</v>
      </c>
      <c r="S212" s="15">
        <f>P212*R212</f>
        <v>0</v>
      </c>
      <c r="T212" s="15">
        <f>IF(OR(C212&gt;0,J212&gt;0),1,0)</f>
        <v>0</v>
      </c>
      <c r="U212" s="15">
        <f>IF(B194&gt;=7,1,0)</f>
        <v>0</v>
      </c>
      <c r="V212" s="15">
        <f>IF(B194&gt;=18,1,0)</f>
        <v>0</v>
      </c>
    </row>
  </sheetData>
  <mergeCells count="30">
    <mergeCell ref="D134:F134"/>
    <mergeCell ref="G134:I134"/>
    <mergeCell ref="D114:F114"/>
    <mergeCell ref="I24:K24"/>
    <mergeCell ref="D194:F194"/>
    <mergeCell ref="G194:I194"/>
    <mergeCell ref="D174:F174"/>
    <mergeCell ref="G174:I174"/>
    <mergeCell ref="D154:F154"/>
    <mergeCell ref="G154:I154"/>
    <mergeCell ref="G114:I114"/>
    <mergeCell ref="D94:F94"/>
    <mergeCell ref="G94:I94"/>
    <mergeCell ref="G54:I54"/>
    <mergeCell ref="D74:F74"/>
    <mergeCell ref="G74:I74"/>
    <mergeCell ref="D54:F54"/>
    <mergeCell ref="Q24:R24"/>
    <mergeCell ref="S24:T24"/>
    <mergeCell ref="B38:B39"/>
    <mergeCell ref="C38:D38"/>
    <mergeCell ref="E38:F38"/>
    <mergeCell ref="C24:D24"/>
    <mergeCell ref="E24:F24"/>
    <mergeCell ref="G24:H24"/>
    <mergeCell ref="B29:B30"/>
    <mergeCell ref="I29:K29"/>
    <mergeCell ref="C29:D29"/>
    <mergeCell ref="E29:F29"/>
    <mergeCell ref="G29:H29"/>
  </mergeCells>
  <phoneticPr fontId="2"/>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1"/>
  </sheetPr>
  <dimension ref="A1:L22"/>
  <sheetViews>
    <sheetView showGridLines="0" workbookViewId="0">
      <selection activeCell="O20" sqref="O20"/>
    </sheetView>
  </sheetViews>
  <sheetFormatPr defaultRowHeight="13.5"/>
  <cols>
    <col min="1" max="9" width="9" style="73"/>
    <col min="10" max="10" width="6.375" style="73" customWidth="1"/>
    <col min="11" max="16384" width="9" style="73"/>
  </cols>
  <sheetData>
    <row r="1" spans="1:12">
      <c r="A1" s="72"/>
      <c r="B1" s="72"/>
      <c r="C1" s="72"/>
      <c r="D1" s="72"/>
      <c r="E1" s="72"/>
      <c r="F1" s="72"/>
      <c r="G1" s="72"/>
      <c r="H1" s="72"/>
      <c r="I1" s="72"/>
      <c r="J1" s="72"/>
      <c r="K1" s="72"/>
      <c r="L1" s="72"/>
    </row>
    <row r="2" spans="1:12">
      <c r="A2" s="72"/>
      <c r="B2" s="72"/>
      <c r="C2" s="72"/>
      <c r="D2" s="72"/>
      <c r="E2" s="72"/>
      <c r="F2" s="72"/>
      <c r="G2" s="72"/>
      <c r="H2" s="72"/>
      <c r="I2" s="72"/>
      <c r="J2" s="72"/>
      <c r="K2" s="72"/>
      <c r="L2" s="72"/>
    </row>
    <row r="3" spans="1:12">
      <c r="A3" s="72"/>
      <c r="B3" s="72"/>
      <c r="C3" s="72"/>
      <c r="D3" s="72"/>
      <c r="E3" s="72"/>
      <c r="F3" s="72"/>
      <c r="G3" s="72"/>
      <c r="H3" s="72"/>
      <c r="I3" s="72"/>
      <c r="J3" s="72"/>
      <c r="K3" s="72"/>
      <c r="L3" s="72"/>
    </row>
    <row r="4" spans="1:12">
      <c r="A4" s="72"/>
      <c r="B4" s="72"/>
      <c r="C4" s="72"/>
      <c r="D4" s="72"/>
      <c r="E4" s="72"/>
      <c r="F4" s="72"/>
      <c r="G4" s="72"/>
      <c r="H4" s="72"/>
      <c r="I4" s="72"/>
      <c r="J4" s="72"/>
      <c r="K4" s="72"/>
      <c r="L4" s="72"/>
    </row>
    <row r="5" spans="1:12">
      <c r="A5" s="72"/>
      <c r="B5" s="72"/>
      <c r="C5" s="72"/>
      <c r="D5" s="72"/>
      <c r="E5" s="72"/>
      <c r="F5" s="72"/>
      <c r="G5" s="72"/>
      <c r="H5" s="72"/>
      <c r="I5" s="72"/>
      <c r="J5" s="72"/>
      <c r="K5" s="72"/>
      <c r="L5" s="72"/>
    </row>
    <row r="6" spans="1:12">
      <c r="A6" s="72"/>
      <c r="B6" s="72"/>
      <c r="C6" s="72"/>
      <c r="D6" s="72"/>
      <c r="E6" s="72"/>
      <c r="F6" s="72"/>
      <c r="G6" s="72"/>
      <c r="H6" s="72"/>
      <c r="I6" s="72"/>
      <c r="J6" s="72"/>
      <c r="K6" s="72"/>
      <c r="L6" s="72"/>
    </row>
    <row r="7" spans="1:12">
      <c r="A7" s="72"/>
      <c r="B7" s="72"/>
      <c r="C7" s="72"/>
      <c r="D7" s="72"/>
      <c r="E7" s="72"/>
      <c r="F7" s="72"/>
      <c r="G7" s="72"/>
      <c r="H7" s="72"/>
      <c r="I7" s="72"/>
      <c r="J7" s="72"/>
      <c r="K7" s="72"/>
      <c r="L7" s="72"/>
    </row>
    <row r="8" spans="1:12">
      <c r="A8" s="72"/>
      <c r="B8" s="72"/>
      <c r="C8" s="72"/>
      <c r="D8" s="72"/>
      <c r="E8" s="72"/>
      <c r="F8" s="72"/>
      <c r="G8" s="72"/>
      <c r="H8" s="72"/>
      <c r="I8" s="72"/>
      <c r="J8" s="72"/>
      <c r="K8" s="72"/>
      <c r="L8" s="72"/>
    </row>
    <row r="9" spans="1:12">
      <c r="A9" s="72"/>
      <c r="B9" s="72"/>
      <c r="C9" s="72"/>
      <c r="D9" s="72"/>
      <c r="E9" s="72"/>
      <c r="F9" s="72"/>
      <c r="G9" s="72"/>
      <c r="H9" s="72"/>
      <c r="I9" s="72"/>
      <c r="J9" s="72"/>
      <c r="K9" s="72"/>
      <c r="L9" s="72"/>
    </row>
    <row r="10" spans="1:12">
      <c r="A10" s="72"/>
      <c r="B10" s="72"/>
      <c r="C10" s="72"/>
      <c r="D10" s="72"/>
      <c r="E10" s="72"/>
      <c r="F10" s="72"/>
      <c r="G10" s="72"/>
      <c r="H10" s="72"/>
      <c r="I10" s="72"/>
      <c r="J10" s="72"/>
      <c r="K10" s="72"/>
      <c r="L10" s="72"/>
    </row>
    <row r="11" spans="1:12">
      <c r="A11" s="72"/>
      <c r="B11" s="72"/>
      <c r="C11" s="72"/>
      <c r="D11" s="72"/>
      <c r="E11" s="72"/>
      <c r="F11" s="72"/>
      <c r="G11" s="72"/>
      <c r="H11" s="72"/>
      <c r="I11" s="72"/>
      <c r="J11" s="72"/>
      <c r="K11" s="72"/>
      <c r="L11" s="72"/>
    </row>
    <row r="12" spans="1:12">
      <c r="A12" s="72"/>
      <c r="B12" s="72"/>
      <c r="C12" s="72"/>
      <c r="D12" s="72"/>
      <c r="E12" s="72"/>
      <c r="F12" s="72"/>
      <c r="G12" s="72"/>
      <c r="H12" s="72"/>
      <c r="I12" s="72"/>
      <c r="J12" s="72"/>
      <c r="K12" s="72"/>
      <c r="L12" s="72"/>
    </row>
    <row r="13" spans="1:12">
      <c r="A13" s="72"/>
      <c r="B13" s="72"/>
      <c r="C13" s="72"/>
      <c r="D13" s="72"/>
      <c r="E13" s="72"/>
      <c r="F13" s="72"/>
      <c r="G13" s="72"/>
      <c r="H13" s="72"/>
      <c r="I13" s="72"/>
      <c r="J13" s="72"/>
      <c r="K13" s="72"/>
      <c r="L13" s="72"/>
    </row>
    <row r="14" spans="1:12">
      <c r="A14" s="72"/>
      <c r="B14" s="72"/>
      <c r="C14" s="72"/>
      <c r="D14" s="72"/>
      <c r="E14" s="72"/>
      <c r="F14" s="72"/>
      <c r="G14" s="72"/>
      <c r="H14" s="72"/>
      <c r="I14" s="72"/>
      <c r="J14" s="72"/>
      <c r="K14" s="72"/>
      <c r="L14" s="72"/>
    </row>
    <row r="15" spans="1:12">
      <c r="A15" s="72"/>
      <c r="B15" s="72"/>
      <c r="C15" s="72"/>
      <c r="D15" s="72"/>
      <c r="E15" s="72"/>
      <c r="F15" s="72"/>
      <c r="G15" s="72"/>
      <c r="H15" s="72"/>
      <c r="I15" s="72"/>
      <c r="J15" s="72"/>
      <c r="K15" s="72"/>
      <c r="L15" s="72"/>
    </row>
    <row r="16" spans="1:12">
      <c r="A16" s="72"/>
      <c r="B16" s="72"/>
      <c r="C16" s="72"/>
      <c r="D16" s="72"/>
      <c r="E16" s="72"/>
      <c r="F16" s="72"/>
      <c r="G16" s="72"/>
      <c r="H16" s="72"/>
      <c r="I16" s="72"/>
      <c r="J16" s="72"/>
      <c r="K16" s="72"/>
      <c r="L16" s="72"/>
    </row>
    <row r="17" spans="1:12">
      <c r="A17" s="72"/>
      <c r="B17" s="72"/>
      <c r="C17" s="72"/>
      <c r="D17" s="72"/>
      <c r="E17" s="72"/>
      <c r="F17" s="72"/>
      <c r="G17" s="72"/>
      <c r="H17" s="72"/>
      <c r="I17" s="72"/>
      <c r="J17" s="72"/>
      <c r="K17" s="72"/>
      <c r="L17" s="72"/>
    </row>
    <row r="18" spans="1:12">
      <c r="A18" s="72"/>
      <c r="B18" s="72"/>
      <c r="C18" s="72"/>
      <c r="D18" s="72"/>
      <c r="E18" s="72"/>
      <c r="F18" s="72"/>
      <c r="G18" s="72"/>
      <c r="H18" s="72"/>
      <c r="I18" s="72"/>
      <c r="J18" s="72"/>
      <c r="K18" s="72"/>
      <c r="L18" s="72"/>
    </row>
    <row r="19" spans="1:12">
      <c r="A19" s="72"/>
      <c r="B19" s="72"/>
      <c r="C19" s="72"/>
      <c r="D19" s="72"/>
      <c r="E19" s="72"/>
      <c r="F19" s="72"/>
      <c r="G19" s="72"/>
      <c r="H19" s="72"/>
      <c r="I19" s="72"/>
      <c r="J19" s="72"/>
      <c r="K19" s="72"/>
      <c r="L19" s="72"/>
    </row>
    <row r="20" spans="1:12">
      <c r="A20" s="72"/>
      <c r="B20" s="72"/>
      <c r="C20" s="72"/>
      <c r="D20" s="72"/>
      <c r="E20" s="72"/>
      <c r="F20" s="72"/>
      <c r="G20" s="72"/>
      <c r="H20" s="72"/>
      <c r="I20" s="72"/>
      <c r="J20" s="72"/>
      <c r="K20" s="72"/>
      <c r="L20" s="72"/>
    </row>
    <row r="21" spans="1:12">
      <c r="A21" s="72"/>
      <c r="B21" s="72"/>
      <c r="C21" s="72"/>
      <c r="D21" s="72"/>
      <c r="E21" s="72"/>
      <c r="F21" s="72"/>
      <c r="G21" s="72"/>
      <c r="H21" s="72"/>
      <c r="I21" s="72"/>
      <c r="J21" s="72"/>
      <c r="K21" s="72"/>
      <c r="L21" s="72"/>
    </row>
    <row r="22" spans="1:12">
      <c r="A22" s="72"/>
      <c r="B22" s="72"/>
      <c r="C22" s="72"/>
      <c r="D22" s="72"/>
      <c r="E22" s="72"/>
      <c r="F22" s="72"/>
      <c r="G22" s="72"/>
      <c r="H22" s="72"/>
      <c r="I22" s="72"/>
      <c r="J22" s="72"/>
      <c r="K22" s="72"/>
      <c r="L22" s="72"/>
    </row>
  </sheetData>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1"/>
  </sheetPr>
  <dimension ref="A1:J46"/>
  <sheetViews>
    <sheetView workbookViewId="0">
      <selection activeCell="M23" sqref="M23"/>
    </sheetView>
  </sheetViews>
  <sheetFormatPr defaultRowHeight="13.5"/>
  <cols>
    <col min="1" max="9" width="9" style="64"/>
    <col min="10" max="10" width="10.75" style="64" customWidth="1"/>
    <col min="11" max="16384" width="9" style="64"/>
  </cols>
  <sheetData>
    <row r="1" spans="1:10">
      <c r="A1" s="63"/>
      <c r="B1" s="63"/>
      <c r="C1" s="63"/>
      <c r="D1" s="63"/>
      <c r="E1" s="63"/>
      <c r="F1" s="63"/>
      <c r="G1" s="63"/>
      <c r="H1" s="63"/>
      <c r="I1" s="63"/>
      <c r="J1" s="63"/>
    </row>
    <row r="2" spans="1:10">
      <c r="A2" s="63"/>
      <c r="B2" s="63"/>
      <c r="C2" s="63"/>
      <c r="D2" s="63"/>
      <c r="E2" s="63"/>
      <c r="F2" s="63"/>
      <c r="G2" s="63"/>
      <c r="H2" s="63"/>
      <c r="I2" s="63"/>
      <c r="J2" s="63"/>
    </row>
    <row r="3" spans="1:10">
      <c r="A3" s="63"/>
      <c r="B3" s="63"/>
      <c r="C3" s="63"/>
      <c r="D3" s="63"/>
      <c r="E3" s="63"/>
      <c r="F3" s="63"/>
      <c r="G3" s="63"/>
      <c r="H3" s="63"/>
      <c r="I3" s="63"/>
      <c r="J3" s="63"/>
    </row>
    <row r="4" spans="1:10">
      <c r="A4" s="63"/>
      <c r="B4" s="63"/>
      <c r="C4" s="63"/>
      <c r="D4" s="63"/>
      <c r="E4" s="63"/>
      <c r="F4" s="63"/>
      <c r="G4" s="63"/>
      <c r="H4" s="63"/>
      <c r="I4" s="63"/>
      <c r="J4" s="63"/>
    </row>
    <row r="5" spans="1:10">
      <c r="A5" s="63"/>
      <c r="B5" s="63"/>
      <c r="C5" s="63"/>
      <c r="D5" s="63"/>
      <c r="E5" s="63"/>
      <c r="F5" s="63"/>
      <c r="G5" s="63"/>
      <c r="H5" s="63"/>
      <c r="I5" s="63"/>
      <c r="J5" s="63"/>
    </row>
    <row r="6" spans="1:10">
      <c r="A6" s="63"/>
      <c r="B6" s="63"/>
      <c r="C6" s="63"/>
      <c r="D6" s="63"/>
      <c r="E6" s="63"/>
      <c r="F6" s="63"/>
      <c r="G6" s="63"/>
      <c r="H6" s="63"/>
      <c r="I6" s="63"/>
      <c r="J6" s="63"/>
    </row>
    <row r="7" spans="1:10">
      <c r="A7" s="63"/>
      <c r="B7" s="63"/>
      <c r="C7" s="63"/>
      <c r="D7" s="63"/>
      <c r="E7" s="63"/>
      <c r="F7" s="63"/>
      <c r="G7" s="63"/>
      <c r="H7" s="63"/>
      <c r="I7" s="63"/>
      <c r="J7" s="63"/>
    </row>
    <row r="8" spans="1:10">
      <c r="A8" s="63"/>
      <c r="B8" s="63"/>
      <c r="C8" s="63"/>
      <c r="D8" s="63"/>
      <c r="E8" s="63"/>
      <c r="F8" s="63"/>
      <c r="G8" s="63"/>
      <c r="H8" s="63"/>
      <c r="I8" s="63"/>
      <c r="J8" s="63"/>
    </row>
    <row r="9" spans="1:10">
      <c r="A9" s="63"/>
      <c r="B9" s="63"/>
      <c r="C9" s="63"/>
      <c r="D9" s="63"/>
      <c r="E9" s="63"/>
      <c r="F9" s="63"/>
      <c r="G9" s="63"/>
      <c r="H9" s="63"/>
      <c r="I9" s="63"/>
      <c r="J9" s="63"/>
    </row>
    <row r="10" spans="1:10">
      <c r="A10" s="63"/>
      <c r="B10" s="63"/>
      <c r="C10" s="63"/>
      <c r="D10" s="63"/>
      <c r="E10" s="63"/>
      <c r="F10" s="63"/>
      <c r="G10" s="63"/>
      <c r="H10" s="63"/>
      <c r="I10" s="63"/>
      <c r="J10" s="63"/>
    </row>
    <row r="11" spans="1:10">
      <c r="A11" s="63"/>
      <c r="B11" s="63"/>
      <c r="C11" s="63"/>
      <c r="D11" s="63"/>
      <c r="E11" s="63"/>
      <c r="F11" s="63"/>
      <c r="G11" s="63"/>
      <c r="H11" s="63"/>
      <c r="I11" s="63"/>
      <c r="J11" s="63"/>
    </row>
    <row r="12" spans="1:10">
      <c r="A12" s="63"/>
      <c r="B12" s="63"/>
      <c r="C12" s="63"/>
      <c r="D12" s="63"/>
      <c r="E12" s="63"/>
      <c r="F12" s="63"/>
      <c r="G12" s="63"/>
      <c r="H12" s="63"/>
      <c r="I12" s="63"/>
      <c r="J12" s="63"/>
    </row>
    <row r="13" spans="1:10">
      <c r="A13" s="63"/>
      <c r="B13" s="63"/>
      <c r="C13" s="63"/>
      <c r="D13" s="63"/>
      <c r="E13" s="63"/>
      <c r="F13" s="63"/>
      <c r="G13" s="63"/>
      <c r="H13" s="63"/>
      <c r="I13" s="63"/>
      <c r="J13" s="63"/>
    </row>
    <row r="14" spans="1:10">
      <c r="A14" s="63"/>
      <c r="B14" s="63"/>
      <c r="C14" s="63"/>
      <c r="D14" s="63"/>
      <c r="E14" s="63"/>
      <c r="F14" s="63"/>
      <c r="G14" s="63"/>
      <c r="H14" s="63"/>
      <c r="I14" s="63"/>
      <c r="J14" s="63"/>
    </row>
    <row r="15" spans="1:10">
      <c r="A15" s="63"/>
      <c r="B15" s="63"/>
      <c r="C15" s="63"/>
      <c r="D15" s="63"/>
      <c r="E15" s="63"/>
      <c r="F15" s="63"/>
      <c r="G15" s="63"/>
      <c r="H15" s="63"/>
      <c r="I15" s="63"/>
      <c r="J15" s="63"/>
    </row>
    <row r="16" spans="1:10">
      <c r="A16" s="63"/>
      <c r="B16" s="63"/>
      <c r="C16" s="63"/>
      <c r="D16" s="63"/>
      <c r="E16" s="63"/>
      <c r="F16" s="63"/>
      <c r="G16" s="63"/>
      <c r="H16" s="63"/>
      <c r="I16" s="63"/>
      <c r="J16" s="63"/>
    </row>
    <row r="17" spans="1:10">
      <c r="A17" s="63"/>
      <c r="B17" s="63"/>
      <c r="C17" s="63"/>
      <c r="D17" s="63"/>
      <c r="E17" s="63"/>
      <c r="F17" s="63"/>
      <c r="G17" s="63"/>
      <c r="H17" s="63"/>
      <c r="I17" s="63"/>
      <c r="J17" s="63"/>
    </row>
    <row r="18" spans="1:10">
      <c r="A18" s="63"/>
      <c r="B18" s="63"/>
      <c r="C18" s="63"/>
      <c r="D18" s="63"/>
      <c r="E18" s="63"/>
      <c r="F18" s="63"/>
      <c r="G18" s="63"/>
      <c r="H18" s="63"/>
      <c r="I18" s="63"/>
      <c r="J18" s="63"/>
    </row>
    <row r="19" spans="1:10">
      <c r="A19" s="63"/>
      <c r="B19" s="63"/>
      <c r="C19" s="63"/>
      <c r="D19" s="63"/>
      <c r="E19" s="63"/>
      <c r="F19" s="63"/>
      <c r="G19" s="63"/>
      <c r="H19" s="63"/>
      <c r="I19" s="63"/>
      <c r="J19" s="63"/>
    </row>
    <row r="20" spans="1:10">
      <c r="A20" s="63"/>
      <c r="B20" s="63"/>
      <c r="C20" s="63"/>
      <c r="D20" s="63"/>
      <c r="E20" s="63"/>
      <c r="F20" s="63"/>
      <c r="G20" s="63"/>
      <c r="H20" s="63"/>
      <c r="I20" s="63"/>
      <c r="J20" s="63"/>
    </row>
    <row r="21" spans="1:10">
      <c r="A21" s="63"/>
      <c r="B21" s="63"/>
      <c r="C21" s="63"/>
      <c r="D21" s="63"/>
      <c r="E21" s="63"/>
      <c r="F21" s="63"/>
      <c r="G21" s="63"/>
      <c r="H21" s="63"/>
      <c r="I21" s="63"/>
      <c r="J21" s="63"/>
    </row>
    <row r="22" spans="1:10">
      <c r="A22" s="63"/>
      <c r="B22" s="63"/>
      <c r="C22" s="63"/>
      <c r="D22" s="63"/>
      <c r="E22" s="63"/>
      <c r="F22" s="63"/>
      <c r="G22" s="63"/>
      <c r="H22" s="63"/>
      <c r="I22" s="63"/>
      <c r="J22" s="63"/>
    </row>
    <row r="23" spans="1:10">
      <c r="A23" s="63"/>
      <c r="B23" s="63"/>
      <c r="C23" s="63"/>
      <c r="D23" s="63"/>
      <c r="E23" s="63"/>
      <c r="F23" s="63"/>
      <c r="G23" s="63"/>
      <c r="H23" s="63"/>
      <c r="I23" s="63"/>
      <c r="J23" s="63"/>
    </row>
    <row r="24" spans="1:10">
      <c r="A24" s="63"/>
      <c r="B24" s="63"/>
      <c r="C24" s="63"/>
      <c r="D24" s="63"/>
      <c r="E24" s="63"/>
      <c r="F24" s="63"/>
      <c r="G24" s="63"/>
      <c r="H24" s="63"/>
      <c r="I24" s="63"/>
      <c r="J24" s="63"/>
    </row>
    <row r="25" spans="1:10">
      <c r="A25" s="63"/>
      <c r="B25" s="63"/>
      <c r="C25" s="63"/>
      <c r="D25" s="63"/>
      <c r="E25" s="63"/>
      <c r="F25" s="63"/>
      <c r="G25" s="63"/>
      <c r="H25" s="63"/>
      <c r="I25" s="63"/>
      <c r="J25" s="63"/>
    </row>
    <row r="26" spans="1:10">
      <c r="A26" s="63"/>
      <c r="B26" s="63"/>
      <c r="C26" s="63"/>
      <c r="D26" s="63"/>
      <c r="E26" s="63"/>
      <c r="F26" s="63"/>
      <c r="G26" s="63"/>
      <c r="H26" s="63"/>
      <c r="I26" s="63"/>
      <c r="J26" s="63"/>
    </row>
    <row r="27" spans="1:10">
      <c r="A27" s="63"/>
      <c r="B27" s="63"/>
      <c r="C27" s="63"/>
      <c r="D27" s="63"/>
      <c r="E27" s="63"/>
      <c r="F27" s="63"/>
      <c r="G27" s="63"/>
      <c r="H27" s="63"/>
      <c r="I27" s="63"/>
      <c r="J27" s="63"/>
    </row>
    <row r="28" spans="1:10">
      <c r="A28" s="63"/>
      <c r="B28" s="63"/>
      <c r="C28" s="63"/>
      <c r="D28" s="63"/>
      <c r="E28" s="63"/>
      <c r="F28" s="63"/>
      <c r="G28" s="63"/>
      <c r="H28" s="63"/>
      <c r="I28" s="63"/>
      <c r="J28" s="63"/>
    </row>
    <row r="29" spans="1:10">
      <c r="A29" s="63"/>
      <c r="B29" s="63"/>
      <c r="C29" s="63"/>
      <c r="D29" s="63"/>
      <c r="E29" s="63"/>
      <c r="F29" s="63"/>
      <c r="G29" s="63"/>
      <c r="H29" s="63"/>
      <c r="I29" s="63"/>
      <c r="J29" s="63"/>
    </row>
    <row r="30" spans="1:10">
      <c r="A30" s="63"/>
      <c r="B30" s="63"/>
      <c r="C30" s="63"/>
      <c r="D30" s="63"/>
      <c r="E30" s="63"/>
      <c r="F30" s="63"/>
      <c r="G30" s="63"/>
      <c r="H30" s="63"/>
      <c r="I30" s="63"/>
      <c r="J30" s="63"/>
    </row>
    <row r="31" spans="1:10">
      <c r="A31" s="63"/>
      <c r="B31" s="63"/>
      <c r="C31" s="63"/>
      <c r="D31" s="63"/>
      <c r="E31" s="63"/>
      <c r="F31" s="63"/>
      <c r="G31" s="63"/>
      <c r="H31" s="63"/>
      <c r="I31" s="63"/>
      <c r="J31" s="63"/>
    </row>
    <row r="32" spans="1:10">
      <c r="A32" s="63"/>
      <c r="B32" s="63"/>
      <c r="C32" s="63"/>
      <c r="D32" s="63"/>
      <c r="E32" s="63"/>
      <c r="F32" s="63"/>
      <c r="G32" s="63"/>
      <c r="H32" s="63"/>
      <c r="I32" s="63"/>
      <c r="J32" s="63"/>
    </row>
    <row r="33" spans="1:10">
      <c r="A33" s="63"/>
      <c r="B33" s="63"/>
      <c r="C33" s="63"/>
      <c r="D33" s="63"/>
      <c r="E33" s="63"/>
      <c r="F33" s="63"/>
      <c r="G33" s="63"/>
      <c r="H33" s="63"/>
      <c r="I33" s="63"/>
      <c r="J33" s="63"/>
    </row>
    <row r="34" spans="1:10">
      <c r="A34" s="63"/>
      <c r="B34" s="63"/>
      <c r="C34" s="63"/>
      <c r="D34" s="63"/>
      <c r="E34" s="63"/>
      <c r="F34" s="63"/>
      <c r="G34" s="63"/>
      <c r="H34" s="63"/>
      <c r="I34" s="63"/>
      <c r="J34" s="63"/>
    </row>
    <row r="35" spans="1:10">
      <c r="A35" s="63"/>
      <c r="B35" s="63"/>
      <c r="C35" s="63"/>
      <c r="D35" s="63"/>
      <c r="E35" s="63"/>
      <c r="F35" s="63"/>
      <c r="G35" s="63"/>
      <c r="H35" s="63"/>
      <c r="I35" s="63"/>
      <c r="J35" s="63"/>
    </row>
    <row r="36" spans="1:10">
      <c r="A36" s="63"/>
      <c r="B36" s="63"/>
      <c r="C36" s="63"/>
      <c r="D36" s="63"/>
      <c r="E36" s="63"/>
      <c r="F36" s="63"/>
      <c r="G36" s="63"/>
      <c r="H36" s="63"/>
      <c r="I36" s="63"/>
      <c r="J36" s="63"/>
    </row>
    <row r="37" spans="1:10">
      <c r="A37" s="63"/>
      <c r="B37" s="63"/>
      <c r="C37" s="63"/>
      <c r="D37" s="63"/>
      <c r="E37" s="63"/>
      <c r="F37" s="63"/>
      <c r="G37" s="63"/>
      <c r="H37" s="63"/>
      <c r="I37" s="63"/>
      <c r="J37" s="63"/>
    </row>
    <row r="38" spans="1:10">
      <c r="A38" s="63"/>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63"/>
      <c r="H43" s="63"/>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計算シート</vt:lpstr>
      <vt:lpstr>計算内訳</vt:lpstr>
      <vt:lpstr>計算表</vt:lpstr>
      <vt:lpstr>源泉徴収票</vt:lpstr>
      <vt:lpstr>確定申告書B</vt:lpstr>
      <vt:lpstr>計算シート!Print_Area</vt:lpstr>
      <vt:lpstr>計算内訳!Print_Area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文隆</dc:creator>
  <cp:lastModifiedBy>髙山  航</cp:lastModifiedBy>
  <cp:lastPrinted>2026-03-25T04:07:38Z</cp:lastPrinted>
  <dcterms:created xsi:type="dcterms:W3CDTF">2006-09-16T00:00:00Z</dcterms:created>
  <dcterms:modified xsi:type="dcterms:W3CDTF">2026-03-25T06:25:40Z</dcterms:modified>
</cp:coreProperties>
</file>